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acdougallc/Box/Antimicrobial Stewardship UCSF/UCSF Antimicrobial Stewardship/Guidelines/UCSF Guidelines/Vancomycin Dosing/"/>
    </mc:Choice>
  </mc:AlternateContent>
  <xr:revisionPtr revIDLastSave="0" documentId="13_ncr:1_{6B35A813-706A-D944-80F1-C2337AE02001}" xr6:coauthVersionLast="45" xr6:coauthVersionMax="45" xr10:uidLastSave="{00000000-0000-0000-0000-000000000000}"/>
  <bookViews>
    <workbookView xWindow="15040" yWindow="5980" windowWidth="27040" windowHeight="18900" tabRatio="854" xr2:uid="{00000000-000D-0000-FFFF-FFFF00000000}"/>
  </bookViews>
  <sheets>
    <sheet name="Patient_Info" sheetId="7" r:id="rId1"/>
    <sheet name="Vanco_InitialDose" sheetId="8" r:id="rId2"/>
    <sheet name="Vanco_DoseRevisionTrough" sheetId="9" r:id="rId3"/>
    <sheet name="Vanco_DoseRevisionTwoLevels" sheetId="10" r:id="rId4"/>
    <sheet name="Calculation_Details" sheetId="1" r:id="rId5"/>
    <sheet name="References" sheetId="15" r:id="rId6"/>
    <sheet name="Pick" sheetId="6" state="hidden" r:id="rId7"/>
    <sheet name="Sheet2" sheetId="2" state="hidden" r:id="rId8"/>
    <sheet name="Sheet3" sheetId="3" state="hidden" r:id="rId9"/>
    <sheet name="Lkup" sheetId="14" state="hidden" r:id="rId10"/>
  </sheets>
  <definedNames>
    <definedName name="YESNO">Lkup!$A$1:$A$2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1" l="1"/>
  <c r="B26" i="1" l="1"/>
  <c r="E26" i="1" s="1"/>
  <c r="B3" i="1" l="1"/>
  <c r="B62" i="1" l="1"/>
  <c r="E62" i="1" s="1"/>
  <c r="I52" i="1"/>
  <c r="H52" i="1"/>
  <c r="J52" i="1" s="1"/>
  <c r="D34" i="1"/>
  <c r="E34" i="1" s="1"/>
  <c r="H15" i="1" l="1"/>
  <c r="E3" i="1"/>
  <c r="A3" i="1"/>
  <c r="C3" i="1"/>
  <c r="E6" i="1" s="1"/>
  <c r="D3" i="1"/>
  <c r="F7" i="7"/>
  <c r="A20" i="1"/>
  <c r="B34" i="1"/>
  <c r="A34" i="1"/>
  <c r="B41" i="1"/>
  <c r="B44" i="1"/>
  <c r="E44" i="1" s="1"/>
  <c r="E10" i="1"/>
  <c r="F8" i="7"/>
  <c r="E52" i="1"/>
  <c r="C52" i="1"/>
  <c r="A52" i="1"/>
  <c r="B52" i="1"/>
  <c r="D52" i="1"/>
  <c r="B59" i="1"/>
  <c r="A65" i="1" s="1"/>
  <c r="B23" i="1"/>
  <c r="A17" i="1"/>
  <c r="E15" i="1" l="1"/>
  <c r="E12" i="1"/>
  <c r="A55" i="1"/>
  <c r="F52" i="1" s="1"/>
  <c r="C34" i="1"/>
  <c r="A37" i="1" s="1"/>
  <c r="E41" i="1"/>
  <c r="A47" i="1"/>
  <c r="E14" i="1"/>
  <c r="A29" i="1"/>
  <c r="D47" i="1"/>
  <c r="F29" i="1"/>
  <c r="D29" i="1"/>
  <c r="B15" i="8" s="1"/>
  <c r="A6" i="1"/>
  <c r="A10" i="1"/>
  <c r="A12" i="1" s="1"/>
  <c r="D6" i="1"/>
  <c r="D10" i="1"/>
  <c r="D12" i="1" s="1"/>
  <c r="E23" i="1" l="1"/>
  <c r="B55" i="1"/>
  <c r="B18" i="10" s="1"/>
  <c r="D59" i="1"/>
  <c r="E59" i="1"/>
  <c r="F59" i="1"/>
  <c r="F37" i="1"/>
  <c r="E37" i="1"/>
  <c r="G52" i="1"/>
  <c r="A15" i="1"/>
  <c r="D41" i="1"/>
  <c r="B37" i="1"/>
  <c r="A41" i="1" s="1"/>
  <c r="C37" i="1"/>
  <c r="F41" i="1"/>
  <c r="C6" i="1"/>
  <c r="B15" i="7" s="1"/>
  <c r="B6" i="1"/>
  <c r="B10" i="1" s="1"/>
  <c r="B12" i="1" s="1"/>
  <c r="C10" i="1"/>
  <c r="C12" i="1" s="1"/>
  <c r="D15" i="1"/>
  <c r="B19" i="7"/>
  <c r="A14" i="1"/>
  <c r="B14" i="1" l="1"/>
  <c r="B15" i="1"/>
  <c r="C20" i="1" s="1"/>
  <c r="D23" i="1" s="1"/>
  <c r="B29" i="10"/>
  <c r="E47" i="1"/>
  <c r="D37" i="1"/>
  <c r="H55" i="1"/>
  <c r="D55" i="1"/>
  <c r="D65" i="1" s="1"/>
  <c r="G55" i="1"/>
  <c r="C44" i="1"/>
  <c r="B14" i="9"/>
  <c r="B25" i="9"/>
  <c r="A44" i="1"/>
  <c r="B17" i="9" s="1"/>
  <c r="D44" i="1"/>
  <c r="C15" i="1"/>
  <c r="B22" i="7"/>
  <c r="D14" i="1"/>
  <c r="D20" i="1" l="1"/>
  <c r="A23" i="1" s="1"/>
  <c r="B5" i="8" s="1"/>
  <c r="B20" i="7"/>
  <c r="F23" i="1"/>
  <c r="B21" i="9"/>
  <c r="I47" i="1"/>
  <c r="I55" i="1"/>
  <c r="B22" i="9"/>
  <c r="H44" i="1"/>
  <c r="G44" i="1"/>
  <c r="C55" i="1"/>
  <c r="D62" i="1"/>
  <c r="I65" i="1" s="1"/>
  <c r="A62" i="1"/>
  <c r="B21" i="10" s="1"/>
  <c r="G37" i="1"/>
  <c r="H37" i="1"/>
  <c r="B20" i="1"/>
  <c r="C26" i="1" s="1"/>
  <c r="D26" i="1"/>
  <c r="B21" i="7"/>
  <c r="C14" i="1"/>
  <c r="B18" i="8" l="1"/>
  <c r="B29" i="1"/>
  <c r="G29" i="1"/>
  <c r="H29" i="1" s="1"/>
  <c r="E65" i="1"/>
  <c r="C62" i="1"/>
  <c r="B26" i="10" s="1"/>
  <c r="J55" i="1"/>
  <c r="B15" i="10"/>
  <c r="B12" i="8"/>
  <c r="I29" i="1"/>
  <c r="B25" i="10"/>
  <c r="I37" i="1"/>
  <c r="G26" i="1"/>
  <c r="A26" i="1"/>
  <c r="B8" i="8" s="1"/>
  <c r="I44" i="1"/>
  <c r="B47" i="1"/>
  <c r="H62" i="1" l="1"/>
  <c r="B20" i="9"/>
  <c r="H47" i="1"/>
  <c r="G62" i="1"/>
  <c r="H26" i="1"/>
  <c r="I26" i="1" s="1"/>
  <c r="B13" i="8"/>
  <c r="B11" i="8"/>
  <c r="I62" i="1" l="1"/>
  <c r="B65" i="1" s="1"/>
  <c r="B24" i="10" s="1"/>
  <c r="H65" i="1" l="1"/>
</calcChain>
</file>

<file path=xl/sharedStrings.xml><?xml version="1.0" encoding="utf-8"?>
<sst xmlns="http://schemas.openxmlformats.org/spreadsheetml/2006/main" count="301" uniqueCount="168">
  <si>
    <t>Age</t>
  </si>
  <si>
    <t>Weight (kg)</t>
  </si>
  <si>
    <t>SCr</t>
  </si>
  <si>
    <t>IBW</t>
  </si>
  <si>
    <t>ABW</t>
  </si>
  <si>
    <t>CrCl (ml/min)</t>
  </si>
  <si>
    <t>CrCl (L/hr)</t>
  </si>
  <si>
    <t>k</t>
  </si>
  <si>
    <t>t1/2</t>
  </si>
  <si>
    <t>Target trough</t>
  </si>
  <si>
    <t>Vanco dose</t>
  </si>
  <si>
    <t>Dose chosen</t>
  </si>
  <si>
    <t>(-kT)</t>
  </si>
  <si>
    <t>(-ktpeak)</t>
  </si>
  <si>
    <t>TBW/IBW</t>
  </si>
  <si>
    <t>AUC</t>
  </si>
  <si>
    <t>Female</t>
  </si>
  <si>
    <t>TBW</t>
  </si>
  <si>
    <t>Elderly Flag</t>
  </si>
  <si>
    <t>TBW &amp; Round SCr</t>
  </si>
  <si>
    <t>Daily Dose</t>
  </si>
  <si>
    <t>Forced CrCl</t>
  </si>
  <si>
    <t>Select Dosing CrCl: 1 for TBW, 2 for ABW, 3 for IBW, 4 for TBW &amp; Rounded SCr, 5 to force CrCl</t>
  </si>
  <si>
    <t>Suggested T</t>
  </si>
  <si>
    <t>Chosen Tau</t>
  </si>
  <si>
    <t>Target Peak</t>
  </si>
  <si>
    <t>Loading Dose</t>
  </si>
  <si>
    <t xml:space="preserve"> Loading Dose</t>
  </si>
  <si>
    <t>Peak1</t>
  </si>
  <si>
    <t>Gender</t>
  </si>
  <si>
    <t>Patient Age (years)</t>
  </si>
  <si>
    <t>UCSF Adult Vancomycin Dosing Calculator</t>
  </si>
  <si>
    <t>Serum creatinine (mg/L)</t>
  </si>
  <si>
    <t>Input Patient Parameters</t>
  </si>
  <si>
    <t>Assess Patient Clearance</t>
  </si>
  <si>
    <t>Is patient on intermittent HD?</t>
  </si>
  <si>
    <t>Is patient on CRRT?</t>
  </si>
  <si>
    <t>Is patient's renal function stable?</t>
  </si>
  <si>
    <t>Total Body Weight/Ideal Body Weight Ratio</t>
  </si>
  <si>
    <t>Age&gt;65 and SCr&lt;1</t>
  </si>
  <si>
    <t>Select Best Estimator of Creatinine Clearance</t>
  </si>
  <si>
    <t>Estimators of Creatinine Clearance</t>
  </si>
  <si>
    <t>Cockroft-Gault using Total Body Weight (TBW)</t>
  </si>
  <si>
    <t>Cockroft-Gault using Ideal Body Weight (IBW)</t>
  </si>
  <si>
    <t>Input Custom CrCl estimation</t>
  </si>
  <si>
    <t>Select Vancomycin Dosing Regimen</t>
  </si>
  <si>
    <t>Recommended Dosing Interval (hours)</t>
  </si>
  <si>
    <t>Recommended Vancomycin Dose (mg)</t>
  </si>
  <si>
    <t>Chosen Dosing Interval (hours)</t>
  </si>
  <si>
    <t>Chosen Vancomycin Dose (mg)</t>
  </si>
  <si>
    <t>Predicted Vancomycin AUC24</t>
  </si>
  <si>
    <t>Acceptable vancomycin troughs should be &lt;21 to reduce nephrotoxicity</t>
  </si>
  <si>
    <t>Method 5</t>
  </si>
  <si>
    <t>Enter lbs to convert to kg</t>
  </si>
  <si>
    <t>Conversion</t>
  </si>
  <si>
    <t>Enter</t>
  </si>
  <si>
    <t>Monitoring</t>
  </si>
  <si>
    <t>Vancomycin half-life</t>
  </si>
  <si>
    <t>Steady-state is approximately reached after 4 half-lives of continuous dosing</t>
  </si>
  <si>
    <t>If dosing interval substantially &lt; half-life, draw level before next dose after 3 half-lives have passed</t>
  </si>
  <si>
    <t>For routine monitoring, draw trough level before the 4th dose if dosing interval ≥ half-life</t>
  </si>
  <si>
    <t>Vanco Initial Dosing</t>
  </si>
  <si>
    <t>Dose Revisions based on Single Steady-state Trough</t>
  </si>
  <si>
    <t>Interval</t>
  </si>
  <si>
    <t>Level drawn &lt;= 30 min before end of dosing interval?</t>
  </si>
  <si>
    <t>calc field</t>
  </si>
  <si>
    <t>Select Revised Vancomycin Dosing Regimen</t>
  </si>
  <si>
    <t>Chosen Dosing Interval (Hours)</t>
  </si>
  <si>
    <t>Vanco Dose Revision: Single Trough Level</t>
  </si>
  <si>
    <t>Chosen T</t>
  </si>
  <si>
    <t>Target Trough</t>
  </si>
  <si>
    <t>Predicted peak</t>
  </si>
  <si>
    <t>Predicted trough</t>
  </si>
  <si>
    <t>Clvanc</t>
  </si>
  <si>
    <t>Dose Revisions based on Paired Vancomycin Levels</t>
  </si>
  <si>
    <t>Second vancomycin serum concentration (mg/L)</t>
  </si>
  <si>
    <t>Initial vancomycin serum concentration (mg/L)</t>
  </si>
  <si>
    <t>Vanco Dose Revision: Paired Levels</t>
  </si>
  <si>
    <t>Level 1</t>
  </si>
  <si>
    <t>Level 2</t>
  </si>
  <si>
    <t>Vvanc</t>
  </si>
  <si>
    <t>Infusion Time</t>
  </si>
  <si>
    <t>Should be drawn AFTER distribution, at least 1 hour after end of infusion</t>
  </si>
  <si>
    <t>Time level drawn BEFORE next dose (hours)</t>
  </si>
  <si>
    <t>Time BETWEEN serum concentrations (hours)</t>
  </si>
  <si>
    <t>Level drawn at steady-state (after &gt;3 half-lives?)</t>
  </si>
  <si>
    <t>If NO, trough will be UNDERestimated and calculations unreliable</t>
  </si>
  <si>
    <t>If NO, trough will be OVERestimated and calculations unreliable</t>
  </si>
  <si>
    <t>If YES, see UCSF dosing card for correct dose</t>
  </si>
  <si>
    <t>IF NO, calculations will be unreliable.  Suggest ad hoc dosing and following vancomycin levels.</t>
  </si>
  <si>
    <t>YES</t>
  </si>
  <si>
    <t>NO</t>
  </si>
  <si>
    <t>MALE</t>
  </si>
  <si>
    <t>FEMALE</t>
  </si>
  <si>
    <t>Patient Parameters</t>
  </si>
  <si>
    <t>Cockroft-Gault using TBW and SCr rounded up to 1</t>
  </si>
  <si>
    <t>To evaluate a vancomycin dosing regimen with a single trough level, click here</t>
  </si>
  <si>
    <t>To evaluate a vancomycin dosing regimen with two postdistributional levels, click here</t>
  </si>
  <si>
    <t xml:space="preserve">To select or evaluate an initial vancomycin dose, click here </t>
  </si>
  <si>
    <t>Patient Information</t>
  </si>
  <si>
    <t>Evaluate vancomycin dosing regimen based two levels</t>
  </si>
  <si>
    <t>To return to patient information tab, click here</t>
  </si>
  <si>
    <t>Enter Vancomycin Dosing Regimen</t>
  </si>
  <si>
    <t>Vancomycin Frequency (hours)</t>
  </si>
  <si>
    <t>Vancomycin Dose (mg)</t>
  </si>
  <si>
    <t>Select New Dosing Interval (Hours)</t>
  </si>
  <si>
    <t>Vd_vanc</t>
  </si>
  <si>
    <t>Time first level drawn AFTER end of infusion (hours)</t>
  </si>
  <si>
    <t>Level 1 time post infusion</t>
  </si>
  <si>
    <t>Level 2 time before trough</t>
  </si>
  <si>
    <t>To view calculation details, click here</t>
  </si>
  <si>
    <t>Recommended to be trough concentration, no greater than 30 minutes before next dose</t>
  </si>
  <si>
    <t>Recommended Loading Dose (mg)</t>
  </si>
  <si>
    <t>If loading dose given, draw draw trough level before the 4th dose of the maintenance regimen</t>
  </si>
  <si>
    <t>Predicted Vancomycin Trough (mg/L)</t>
  </si>
  <si>
    <t>Predicted Vancomycin Peak (mg/L)</t>
  </si>
  <si>
    <t>Dose to achieve a steady-state trough of 15 mg/L</t>
  </si>
  <si>
    <t>Loading doses are recommended for patients with severe infections (round to nearest 250mg, cap at 2000mg)</t>
  </si>
  <si>
    <t>Height (cm)</t>
  </si>
  <si>
    <t>Enter inches to convert to cm</t>
  </si>
  <si>
    <t>If TBW/IBW&gt;1.2, consider using  Adjusted (method 2) or Ideal (method 3) Body Weight in CrCl calculation</t>
  </si>
  <si>
    <t>AdjBW</t>
  </si>
  <si>
    <t>Cockroft-Gault using Adjusted Body Weight (AdjBW)</t>
  </si>
  <si>
    <t>Select 1-5 from Methods Above</t>
  </si>
  <si>
    <r>
      <t xml:space="preserve">Enter information in fields outlined in </t>
    </r>
    <r>
      <rPr>
        <sz val="11"/>
        <color indexed="10"/>
        <rFont val="Arial"/>
        <family val="2"/>
      </rPr>
      <t>red</t>
    </r>
  </si>
  <si>
    <r>
      <t xml:space="preserve">Calculated values in </t>
    </r>
    <r>
      <rPr>
        <sz val="11"/>
        <color indexed="49"/>
        <rFont val="Arial"/>
        <family val="2"/>
      </rPr>
      <t>blue</t>
    </r>
  </si>
  <si>
    <t xml:space="preserve">*Disclaimer* Use of this tool does not replace clinical judgment.  </t>
  </si>
  <si>
    <t>If YES or patient with low muscle mass, consider rounding serum creatinine up to 1 in CrCl calculation (method 4)</t>
  </si>
  <si>
    <t>Height (in)</t>
  </si>
  <si>
    <t>AUCup</t>
  </si>
  <si>
    <t>AUCdown</t>
  </si>
  <si>
    <t>AUC2</t>
  </si>
  <si>
    <t>AUC total</t>
  </si>
  <si>
    <t>Target AUC24 is 400-600</t>
  </si>
  <si>
    <t>Acceptable vancomycin peaks should be &lt;50</t>
  </si>
  <si>
    <t>tpeakmeasured</t>
  </si>
  <si>
    <t>AUCtotal</t>
  </si>
  <si>
    <t>Dose Used</t>
  </si>
  <si>
    <t>T used</t>
  </si>
  <si>
    <t>tinf Used</t>
  </si>
  <si>
    <t>tinf used</t>
  </si>
  <si>
    <t>Revised Dose Calcs</t>
  </si>
  <si>
    <t>Initial Dose Calcs</t>
  </si>
  <si>
    <t>Actual Trough level</t>
  </si>
  <si>
    <t>Interval Used</t>
  </si>
  <si>
    <t>Cpeak actual</t>
  </si>
  <si>
    <t>Ctrough actual</t>
  </si>
  <si>
    <t>Vancomycin AUC24</t>
  </si>
  <si>
    <t xml:space="preserve">Note: assumes vancomycin volume of distribution is constant; caution with obesity, fluid overload, or burns </t>
  </si>
  <si>
    <t>AUC color</t>
  </si>
  <si>
    <t>Trough color</t>
  </si>
  <si>
    <t>Select or Evaluate Initial Vancomycin Dose</t>
  </si>
  <si>
    <t>For technical information and references, click here</t>
  </si>
  <si>
    <t>Based on one-compartment population pharmacokinetic model</t>
  </si>
  <si>
    <t>Volume of distribution is estimated as 0.7 L/kg as per  Matzke et al Antimicrob Agents Chemother 1984;25:433-437</t>
  </si>
  <si>
    <t>Vancomycin elimination rate constant is estimated as 0.00083 * CrCl + 0.0044 as per Matzke et al</t>
  </si>
  <si>
    <t>tinf</t>
  </si>
  <si>
    <t>(-ktinf)</t>
  </si>
  <si>
    <t>Patient Total Body Weight (kg)</t>
  </si>
  <si>
    <t>Maximum cutoff 200 ml/min</t>
  </si>
  <si>
    <t>Method 1 (CrCl maximum capped at 200 ml/min)</t>
  </si>
  <si>
    <t>Method 2 (CrCl maximum capped at 200 ml/min)</t>
  </si>
  <si>
    <t>Method 3 (CrCl maximum capped at 200 ml/min)</t>
  </si>
  <si>
    <t>Method 4 (CrCl maximum capped at 200 ml/min)</t>
  </si>
  <si>
    <t>Evaluate vancomycin dosing regimen based on single STEADY-STATE trough</t>
  </si>
  <si>
    <t>Enter vancomycin trough serum concentration (mg/L)</t>
  </si>
  <si>
    <t>Enter 6,8,12,24 hours</t>
  </si>
  <si>
    <t xml:space="preserve">Enter 250,500,750,1000,1250,1500,2000mg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</si>
</sst>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49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4" fillId="0" borderId="0" xfId="0" applyFont="1"/>
    <xf numFmtId="164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0" fillId="4" borderId="0" xfId="0" applyFill="1"/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5" borderId="0" xfId="0" applyFill="1"/>
    <xf numFmtId="1" fontId="0" fillId="0" borderId="0" xfId="0" applyNumberFormat="1"/>
    <xf numFmtId="2" fontId="0" fillId="0" borderId="0" xfId="0" applyNumberFormat="1"/>
    <xf numFmtId="0" fontId="0" fillId="0" borderId="2" xfId="0" applyBorder="1" applyProtection="1">
      <protection locked="0"/>
    </xf>
    <xf numFmtId="0" fontId="1" fillId="0" borderId="0" xfId="1" applyAlignment="1">
      <protection locked="0"/>
    </xf>
    <xf numFmtId="0" fontId="0" fillId="0" borderId="3" xfId="0" applyBorder="1" applyProtection="1"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4" fillId="5" borderId="0" xfId="0" applyFont="1" applyFill="1"/>
    <xf numFmtId="0" fontId="12" fillId="0" borderId="0" xfId="0" applyFont="1"/>
    <xf numFmtId="0" fontId="0" fillId="0" borderId="0" xfId="0" applyFill="1"/>
    <xf numFmtId="0" fontId="5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2" fillId="0" borderId="1" xfId="0" applyFont="1" applyBorder="1" applyProtection="1">
      <protection locked="0"/>
    </xf>
    <xf numFmtId="2" fontId="0" fillId="4" borderId="0" xfId="0" applyNumberFormat="1" applyFill="1"/>
    <xf numFmtId="0" fontId="13" fillId="0" borderId="0" xfId="0" applyFont="1"/>
    <xf numFmtId="0" fontId="6" fillId="0" borderId="0" xfId="0" applyFont="1" applyAlignment="1"/>
    <xf numFmtId="0" fontId="14" fillId="0" borderId="0" xfId="0" applyFont="1"/>
    <xf numFmtId="49" fontId="12" fillId="0" borderId="1" xfId="0" applyNumberFormat="1" applyFont="1" applyBorder="1" applyProtection="1">
      <protection locked="0"/>
    </xf>
    <xf numFmtId="0" fontId="11" fillId="0" borderId="0" xfId="0" applyFont="1" applyAlignment="1">
      <alignment wrapText="1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 patternType="mediumGray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 patternType="mediumGray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  <border>
        <left/>
        <right/>
        <top/>
        <bottom/>
      </border>
    </dxf>
    <dxf>
      <fill>
        <patternFill patternType="mediumGray">
          <fgColor indexed="64"/>
          <bgColor indexed="65"/>
        </patternFill>
      </fill>
      <border>
        <left/>
        <right/>
        <top/>
        <bottom/>
      </border>
    </dxf>
    <dxf>
      <fill>
        <patternFill patternType="mediumGray">
          <fgColor indexed="64"/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 patternType="mediumGray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  <border>
        <left/>
        <right/>
        <top/>
        <bottom/>
      </border>
    </dxf>
    <dxf>
      <fill>
        <patternFill patternType="mediumGray">
          <fgColor indexed="64"/>
          <bgColor indexed="65"/>
        </patternFill>
      </fill>
      <border>
        <left/>
        <right/>
        <top/>
        <bottom/>
      </border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 patternType="mediumGray">
          <fgColor indexed="64"/>
          <bgColor indexed="65"/>
        </patternFill>
      </fill>
    </dxf>
    <dxf>
      <fill>
        <patternFill patternType="mediumGray">
          <fgColor indexed="64"/>
          <bgColor indexed="65"/>
        </patternFill>
      </fill>
      <border>
        <left/>
        <right/>
        <top/>
        <bottom/>
      </border>
    </dxf>
    <dxf>
      <font>
        <color rgb="FF9C0006"/>
      </font>
    </dxf>
    <dxf>
      <fill>
        <patternFill patternType="mediumGray">
          <fgColor indexed="64"/>
          <bgColor indexed="65"/>
        </patternFill>
      </fill>
      <border>
        <left/>
        <right/>
        <top/>
        <bottom/>
      </border>
    </dxf>
    <dxf>
      <font>
        <color auto="1"/>
      </font>
      <fill>
        <patternFill patternType="mediumGray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="151" zoomScaleNormal="150" workbookViewId="0">
      <selection activeCell="E8" sqref="E8"/>
    </sheetView>
  </sheetViews>
  <sheetFormatPr baseColWidth="10" defaultColWidth="0" defaultRowHeight="13" zeroHeight="1" x14ac:dyDescent="0.15"/>
  <cols>
    <col min="1" max="1" width="42" customWidth="1"/>
    <col min="2" max="2" width="7.1640625" customWidth="1"/>
    <col min="3" max="3" width="10.83203125" customWidth="1"/>
    <col min="4" max="4" width="12.5" customWidth="1"/>
    <col min="5" max="5" width="8" customWidth="1"/>
    <col min="6" max="6" width="7" customWidth="1"/>
    <col min="7" max="7" width="48.33203125" customWidth="1"/>
    <col min="8" max="16384" width="10.83203125" hidden="1"/>
  </cols>
  <sheetData>
    <row r="1" spans="1:6" ht="16" x14ac:dyDescent="0.2">
      <c r="A1" s="32" t="s">
        <v>31</v>
      </c>
      <c r="B1" s="21" t="s">
        <v>124</v>
      </c>
    </row>
    <row r="2" spans="1:6" ht="16" x14ac:dyDescent="0.2">
      <c r="A2" s="19" t="s">
        <v>99</v>
      </c>
      <c r="B2" s="21" t="s">
        <v>125</v>
      </c>
    </row>
    <row r="3" spans="1:6" ht="15" customHeight="1" x14ac:dyDescent="0.15">
      <c r="A3" s="35" t="s">
        <v>126</v>
      </c>
      <c r="B3" s="35"/>
      <c r="C3" s="35"/>
      <c r="D3" s="35"/>
    </row>
    <row r="4" spans="1:6" x14ac:dyDescent="0.15">
      <c r="A4" s="4" t="s">
        <v>33</v>
      </c>
    </row>
    <row r="5" spans="1:6" x14ac:dyDescent="0.15">
      <c r="A5" s="1" t="s">
        <v>30</v>
      </c>
      <c r="B5" s="10"/>
    </row>
    <row r="6" spans="1:6" x14ac:dyDescent="0.15">
      <c r="A6" s="1" t="s">
        <v>29</v>
      </c>
      <c r="B6" s="34"/>
      <c r="E6" t="s">
        <v>55</v>
      </c>
      <c r="F6" s="23" t="s">
        <v>54</v>
      </c>
    </row>
    <row r="7" spans="1:6" x14ac:dyDescent="0.15">
      <c r="A7" s="1" t="s">
        <v>158</v>
      </c>
      <c r="B7" s="10"/>
      <c r="C7" s="27" t="s">
        <v>53</v>
      </c>
      <c r="E7" s="18"/>
      <c r="F7">
        <f>E7/2.2</f>
        <v>0</v>
      </c>
    </row>
    <row r="8" spans="1:6" x14ac:dyDescent="0.15">
      <c r="A8" s="1" t="s">
        <v>118</v>
      </c>
      <c r="B8" s="10"/>
      <c r="C8" s="27" t="s">
        <v>119</v>
      </c>
      <c r="E8" s="11"/>
      <c r="F8">
        <f>E8*2.54</f>
        <v>0</v>
      </c>
    </row>
    <row r="9" spans="1:6" x14ac:dyDescent="0.15">
      <c r="A9" s="1" t="s">
        <v>32</v>
      </c>
      <c r="B9" s="12"/>
    </row>
    <row r="10" spans="1:6" x14ac:dyDescent="0.15"/>
    <row r="11" spans="1:6" x14ac:dyDescent="0.15">
      <c r="A11" s="4" t="s">
        <v>34</v>
      </c>
    </row>
    <row r="12" spans="1:6" x14ac:dyDescent="0.15">
      <c r="A12" s="1" t="s">
        <v>35</v>
      </c>
      <c r="B12" s="29" t="s">
        <v>91</v>
      </c>
      <c r="C12" s="31" t="s">
        <v>88</v>
      </c>
    </row>
    <row r="13" spans="1:6" x14ac:dyDescent="0.15">
      <c r="A13" s="1" t="s">
        <v>36</v>
      </c>
      <c r="B13" s="29" t="s">
        <v>91</v>
      </c>
      <c r="C13" s="31" t="s">
        <v>88</v>
      </c>
    </row>
    <row r="14" spans="1:6" x14ac:dyDescent="0.15">
      <c r="A14" s="1" t="s">
        <v>37</v>
      </c>
      <c r="B14" s="29" t="s">
        <v>90</v>
      </c>
      <c r="C14" s="31" t="s">
        <v>89</v>
      </c>
    </row>
    <row r="15" spans="1:6" x14ac:dyDescent="0.15">
      <c r="A15" s="1" t="s">
        <v>38</v>
      </c>
      <c r="B15" s="6">
        <f>Calculation_Details!C6</f>
        <v>0</v>
      </c>
      <c r="C15" s="31" t="s">
        <v>120</v>
      </c>
    </row>
    <row r="16" spans="1:6" x14ac:dyDescent="0.15">
      <c r="A16" s="1" t="s">
        <v>39</v>
      </c>
      <c r="B16" s="29" t="s">
        <v>91</v>
      </c>
      <c r="C16" s="31" t="s">
        <v>127</v>
      </c>
    </row>
    <row r="17" spans="1:3" x14ac:dyDescent="0.15"/>
    <row r="18" spans="1:3" x14ac:dyDescent="0.15">
      <c r="A18" s="4" t="s">
        <v>41</v>
      </c>
    </row>
    <row r="19" spans="1:3" ht="14" x14ac:dyDescent="0.15">
      <c r="A19" s="26" t="s">
        <v>42</v>
      </c>
      <c r="B19" s="7" t="e">
        <f>Calculation_Details!A12</f>
        <v>#DIV/0!</v>
      </c>
      <c r="C19" s="23" t="s">
        <v>160</v>
      </c>
    </row>
    <row r="20" spans="1:3" ht="16" customHeight="1" x14ac:dyDescent="0.15">
      <c r="A20" s="26" t="s">
        <v>122</v>
      </c>
      <c r="B20" s="7" t="e">
        <f>Calculation_Details!B12</f>
        <v>#DIV/0!</v>
      </c>
      <c r="C20" s="23" t="s">
        <v>161</v>
      </c>
    </row>
    <row r="21" spans="1:3" ht="13" customHeight="1" x14ac:dyDescent="0.15">
      <c r="A21" s="26" t="s">
        <v>43</v>
      </c>
      <c r="B21" s="7" t="e">
        <f>Calculation_Details!C12</f>
        <v>#DIV/0!</v>
      </c>
      <c r="C21" s="23" t="s">
        <v>162</v>
      </c>
    </row>
    <row r="22" spans="1:3" ht="16" customHeight="1" x14ac:dyDescent="0.15">
      <c r="A22" s="26" t="s">
        <v>95</v>
      </c>
      <c r="B22" s="7">
        <f>Calculation_Details!D12</f>
        <v>0</v>
      </c>
      <c r="C22" s="23" t="s">
        <v>163</v>
      </c>
    </row>
    <row r="23" spans="1:3" x14ac:dyDescent="0.15">
      <c r="A23" s="1" t="s">
        <v>44</v>
      </c>
      <c r="B23" s="12"/>
      <c r="C23" t="s">
        <v>52</v>
      </c>
    </row>
    <row r="24" spans="1:3" x14ac:dyDescent="0.15"/>
    <row r="25" spans="1:3" x14ac:dyDescent="0.15">
      <c r="A25" s="1" t="s">
        <v>40</v>
      </c>
      <c r="B25" s="11">
        <v>1</v>
      </c>
      <c r="C25" t="s">
        <v>123</v>
      </c>
    </row>
    <row r="26" spans="1:3" x14ac:dyDescent="0.15"/>
    <row r="27" spans="1:3" x14ac:dyDescent="0.15">
      <c r="A27" s="17" t="s">
        <v>98</v>
      </c>
    </row>
    <row r="28" spans="1:3" x14ac:dyDescent="0.15">
      <c r="A28" s="17" t="s">
        <v>96</v>
      </c>
    </row>
    <row r="29" spans="1:3" x14ac:dyDescent="0.15">
      <c r="A29" s="17" t="s">
        <v>97</v>
      </c>
    </row>
    <row r="30" spans="1:3" x14ac:dyDescent="0.15">
      <c r="A30" s="17" t="s">
        <v>152</v>
      </c>
    </row>
    <row r="31" spans="1:3" x14ac:dyDescent="0.15"/>
  </sheetData>
  <sheetProtection algorithmName="SHA-512" hashValue="mNKSCb3IvG2+LwEUQDDa6pZhFNGVB8iI5TJrEV7jE41MXyrVzvtFWwk5HDbqBpSolI6O2aw47OHqyb55wGWCww==" saltValue="bLwzgvF1EfPHwCrttVBveQ==" spinCount="100000" sheet="1" selectLockedCells="1"/>
  <mergeCells count="1">
    <mergeCell ref="A3:D3"/>
  </mergeCells>
  <phoneticPr fontId="3" type="noConversion"/>
  <conditionalFormatting sqref="B5">
    <cfRule type="colorScale" priority="11">
      <colorScale>
        <cfvo type="num" val="0"/>
        <cfvo type="num" val="1"/>
        <color theme="5" tint="0.39997558519241921"/>
        <color theme="0"/>
      </colorScale>
    </cfRule>
  </conditionalFormatting>
  <conditionalFormatting sqref="B7">
    <cfRule type="colorScale" priority="10">
      <colorScale>
        <cfvo type="num" val="0"/>
        <cfvo type="num" val="1"/>
        <color theme="5" tint="0.39997558519241921"/>
        <color theme="0"/>
      </colorScale>
    </cfRule>
  </conditionalFormatting>
  <conditionalFormatting sqref="B8">
    <cfRule type="colorScale" priority="9">
      <colorScale>
        <cfvo type="num" val="0"/>
        <cfvo type="num" val="1"/>
        <color theme="5" tint="0.39997558519241921"/>
        <color theme="0"/>
      </colorScale>
    </cfRule>
  </conditionalFormatting>
  <conditionalFormatting sqref="B9">
    <cfRule type="colorScale" priority="8">
      <colorScale>
        <cfvo type="num" val="0"/>
        <cfvo type="num" val="1E-3"/>
        <color theme="5" tint="0.39997558519241921"/>
        <color theme="0"/>
      </colorScale>
    </cfRule>
  </conditionalFormatting>
  <conditionalFormatting sqref="C12">
    <cfRule type="expression" dxfId="55" priority="7" stopIfTrue="1">
      <formula>$B$12="YES"</formula>
    </cfRule>
  </conditionalFormatting>
  <conditionalFormatting sqref="C13">
    <cfRule type="expression" dxfId="54" priority="6" stopIfTrue="1">
      <formula>$B$13="YES"</formula>
    </cfRule>
  </conditionalFormatting>
  <conditionalFormatting sqref="C14">
    <cfRule type="expression" dxfId="53" priority="5">
      <formula>$B$14="NO"</formula>
    </cfRule>
  </conditionalFormatting>
  <conditionalFormatting sqref="C16">
    <cfRule type="expression" dxfId="52" priority="4">
      <formula>$B$16="YES"</formula>
    </cfRule>
  </conditionalFormatting>
  <conditionalFormatting sqref="B19:B25">
    <cfRule type="expression" dxfId="51" priority="2" stopIfTrue="1">
      <formula>$B$13="YES"</formula>
    </cfRule>
    <cfRule type="expression" dxfId="50" priority="3" stopIfTrue="1">
      <formula>$B$12="YES"</formula>
    </cfRule>
  </conditionalFormatting>
  <conditionalFormatting sqref="B22">
    <cfRule type="expression" dxfId="49" priority="1" stopIfTrue="1">
      <formula>$B$16="YES"</formula>
    </cfRule>
  </conditionalFormatting>
  <hyperlinks>
    <hyperlink ref="A27" location="Vanco_InitialDose!A1" display="To select or evaluate an initial vancomycin dose, click here " xr:uid="{00000000-0004-0000-0000-000000000000}"/>
    <hyperlink ref="A28" location="Vanco_DoseRevisionTrough!A1" display="To evaluate a vancomycin dosing regimen with a single trough level, click here" xr:uid="{00000000-0004-0000-0000-000001000000}"/>
    <hyperlink ref="A29" location="Vanco_DoseRevisionTwoLevels!A1" display="To evaluate a vancomycin dosing regimen with two postdistributional levels, click here" xr:uid="{00000000-0004-0000-0000-000002000000}"/>
    <hyperlink ref="A30" location="References!A1" display="For technical information and references, click here" xr:uid="{2C1AF22C-A896-D54B-AD75-0B637148EAB3}"/>
  </hyperlinks>
  <pageMargins left="0.25" right="0.25" top="1" bottom="1" header="0.3" footer="0.3"/>
  <pageSetup scale="80" orientation="landscape" horizontalDpi="4294967292" verticalDpi="4294967292"/>
  <headerFooter alignWithMargins="0"/>
  <ignoredErrors>
    <ignoredError sqref="F7:F8" emptyCellReferenc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CBD76EA-B854-4744-878D-FC04AD62F71C}">
          <x14:formula1>
            <xm:f>Calculation_Details!$K$3:$K$4</xm:f>
          </x14:formula1>
          <xm:sqref>B6</xm:sqref>
        </x14:dataValidation>
        <x14:dataValidation type="list" allowBlank="1" showInputMessage="1" showErrorMessage="1" xr:uid="{D0588CE3-5597-774F-8797-22C898E80CBB}">
          <x14:formula1>
            <xm:f>Calculation_Details!$K$6:$K$7</xm:f>
          </x14:formula1>
          <xm:sqref>B12:B14 B16</xm:sqref>
        </x14:dataValidation>
        <x14:dataValidation type="list" allowBlank="1" showInputMessage="1" showErrorMessage="1" xr:uid="{B2073FDA-63AD-E044-A3CF-4BE1BF560010}">
          <x14:formula1>
            <xm:f>Calculation_Details!$K$10:$K$14</xm:f>
          </x14:formula1>
          <xm:sqref>B25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>
      <selection activeCell="B4" sqref="B4"/>
    </sheetView>
  </sheetViews>
  <sheetFormatPr baseColWidth="10" defaultRowHeight="13" x14ac:dyDescent="0.15"/>
  <sheetData>
    <row r="1" spans="1:1" x14ac:dyDescent="0.15">
      <c r="A1" t="s">
        <v>90</v>
      </c>
    </row>
    <row r="2" spans="1:1" x14ac:dyDescent="0.15">
      <c r="A2" t="s">
        <v>91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5"/>
  <sheetViews>
    <sheetView zoomScale="150" zoomScaleNormal="150" workbookViewId="0">
      <selection activeCell="A22" sqref="A22"/>
    </sheetView>
  </sheetViews>
  <sheetFormatPr baseColWidth="10" defaultColWidth="0" defaultRowHeight="13" zeroHeight="1" x14ac:dyDescent="0.15"/>
  <cols>
    <col min="1" max="1" width="42" customWidth="1"/>
    <col min="2" max="2" width="10.1640625" customWidth="1"/>
    <col min="3" max="3" width="80.5" customWidth="1"/>
    <col min="4" max="4" width="0" hidden="1" customWidth="1"/>
    <col min="16384" max="16384" width="7.83203125" hidden="1" customWidth="1"/>
  </cols>
  <sheetData>
    <row r="1" spans="1:3" ht="16" x14ac:dyDescent="0.2">
      <c r="A1" s="19" t="s">
        <v>31</v>
      </c>
      <c r="B1" s="21" t="s">
        <v>124</v>
      </c>
    </row>
    <row r="2" spans="1:3" ht="16" x14ac:dyDescent="0.2">
      <c r="A2" s="19" t="s">
        <v>151</v>
      </c>
      <c r="B2" s="21" t="s">
        <v>125</v>
      </c>
    </row>
    <row r="3" spans="1:3" x14ac:dyDescent="0.15"/>
    <row r="4" spans="1:3" x14ac:dyDescent="0.15">
      <c r="A4" s="4" t="s">
        <v>45</v>
      </c>
    </row>
    <row r="5" spans="1:3" x14ac:dyDescent="0.15">
      <c r="A5" s="1" t="s">
        <v>46</v>
      </c>
      <c r="B5" s="8" t="e">
        <f>Calculation_Details!A23</f>
        <v>#DIV/0!</v>
      </c>
    </row>
    <row r="6" spans="1:3" x14ac:dyDescent="0.15">
      <c r="A6" s="1" t="s">
        <v>48</v>
      </c>
      <c r="B6" s="11">
        <v>8</v>
      </c>
      <c r="C6" s="23" t="s">
        <v>166</v>
      </c>
    </row>
    <row r="7" spans="1:3" x14ac:dyDescent="0.15">
      <c r="A7" s="1"/>
    </row>
    <row r="8" spans="1:3" x14ac:dyDescent="0.15">
      <c r="A8" s="1" t="s">
        <v>47</v>
      </c>
      <c r="B8" s="7" t="e">
        <f>Calculation_Details!A26</f>
        <v>#DIV/0!</v>
      </c>
      <c r="C8" t="s">
        <v>116</v>
      </c>
    </row>
    <row r="9" spans="1:3" x14ac:dyDescent="0.15">
      <c r="A9" s="1" t="s">
        <v>49</v>
      </c>
      <c r="B9" s="11">
        <v>1000</v>
      </c>
      <c r="C9" s="23" t="s">
        <v>167</v>
      </c>
    </row>
    <row r="10" spans="1:3" x14ac:dyDescent="0.15"/>
    <row r="11" spans="1:3" x14ac:dyDescent="0.15">
      <c r="A11" s="1" t="s">
        <v>50</v>
      </c>
      <c r="B11" s="7" t="e">
        <f>Calculation_Details!B29</f>
        <v>#DIV/0!</v>
      </c>
      <c r="C11" t="s">
        <v>133</v>
      </c>
    </row>
    <row r="12" spans="1:3" x14ac:dyDescent="0.15">
      <c r="A12" s="1" t="s">
        <v>114</v>
      </c>
      <c r="B12" s="7" t="e">
        <f>Calculation_Details!D26</f>
        <v>#DIV/0!</v>
      </c>
      <c r="C12" t="s">
        <v>51</v>
      </c>
    </row>
    <row r="13" spans="1:3" x14ac:dyDescent="0.15">
      <c r="A13" s="1" t="s">
        <v>115</v>
      </c>
      <c r="B13" s="7" t="e">
        <f>Calculation_Details!C26</f>
        <v>#DIV/0!</v>
      </c>
      <c r="C13" t="s">
        <v>134</v>
      </c>
    </row>
    <row r="14" spans="1:3" x14ac:dyDescent="0.15"/>
    <row r="15" spans="1:3" x14ac:dyDescent="0.15">
      <c r="A15" s="1" t="s">
        <v>112</v>
      </c>
      <c r="B15" s="8">
        <f>Calculation_Details!D29</f>
        <v>0</v>
      </c>
      <c r="C15" s="28" t="s">
        <v>117</v>
      </c>
    </row>
    <row r="16" spans="1:3" x14ac:dyDescent="0.15"/>
    <row r="17" spans="1:3" x14ac:dyDescent="0.15">
      <c r="A17" s="4" t="s">
        <v>56</v>
      </c>
    </row>
    <row r="18" spans="1:3" x14ac:dyDescent="0.15">
      <c r="A18" s="1" t="s">
        <v>57</v>
      </c>
      <c r="B18" s="7" t="e">
        <f>Calculation_Details!D20</f>
        <v>#DIV/0!</v>
      </c>
      <c r="C18" s="31" t="s">
        <v>58</v>
      </c>
    </row>
    <row r="19" spans="1:3" x14ac:dyDescent="0.15">
      <c r="C19" s="31" t="s">
        <v>60</v>
      </c>
    </row>
    <row r="20" spans="1:3" x14ac:dyDescent="0.15">
      <c r="C20" s="31" t="s">
        <v>113</v>
      </c>
    </row>
    <row r="21" spans="1:3" x14ac:dyDescent="0.15">
      <c r="C21" s="31" t="s">
        <v>59</v>
      </c>
    </row>
    <row r="22" spans="1:3" x14ac:dyDescent="0.15">
      <c r="A22" s="17" t="s">
        <v>101</v>
      </c>
    </row>
    <row r="23" spans="1:3" x14ac:dyDescent="0.15">
      <c r="A23" s="17" t="s">
        <v>110</v>
      </c>
      <c r="B23" s="15"/>
    </row>
    <row r="24" spans="1:3" x14ac:dyDescent="0.15">
      <c r="A24" s="17"/>
    </row>
    <row r="25" spans="1:3" x14ac:dyDescent="0.15"/>
  </sheetData>
  <sheetProtection algorithmName="SHA-512" hashValue="EDEihy0ZwEMBaXtVFokz9rOOY57d73bN27Tw8MvodotVN4e6cr8izL+VU9/0eehVYrmLHjWP9zbWFxR2vsVWtw==" saltValue="v7pWrtcJ2nx9+1AaOmh2AA==" spinCount="100000" sheet="1" objects="1" scenarios="1" selectLockedCells="1"/>
  <conditionalFormatting sqref="B4:B20">
    <cfRule type="expression" dxfId="48" priority="28" stopIfTrue="1">
      <formula>$B$11="YES"</formula>
    </cfRule>
  </conditionalFormatting>
  <hyperlinks>
    <hyperlink ref="A23" location="Calculation_Details!A1" display="To view calculation details, click here" xr:uid="{00000000-0004-0000-0100-000001000000}"/>
  </hyperlinks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stopIfTrue="1" id="{00000000-000E-0000-0100-000005000000}">
            <xm:f>Patient_Info!$B$12</xm:f>
            <x14:dxf>
              <font>
                <color auto="1"/>
              </font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B4:B20</xm:sqref>
        </x14:conditionalFormatting>
        <x14:conditionalFormatting xmlns:xm="http://schemas.microsoft.com/office/excel/2006/main">
          <x14:cfRule type="expression" priority="6" id="{845BE095-2049-2341-A5A1-463CA503ED46}">
            <xm:f>Calculation_Details!$H$29=3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7" id="{D397E1B0-71F0-DC4B-A7DD-FA1D3CCC09C3}">
            <xm:f>Calculation_Details!$H$29=0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8" id="{9D65FD2E-30A1-D944-997D-2C95348960D3}">
            <xm:f>Calculation_Details!$H$29=1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9" id="{684C2E2C-E0DC-9A4E-AA8D-6A13EC753496}">
            <xm:f>Calculation_Details!$H$29=2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11" id="{F30084DD-8855-1148-8D07-F32ABFA4AD4A}">
            <xm:f>Calculation_Details!$H$29=4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1" id="{FF87FFC5-B85A-9F45-B766-61C031FFD71E}">
            <xm:f>Calculation_Details!$I$29=3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2" id="{48A76AD5-557D-074B-88E1-C97EB04DD4A9}">
            <xm:f>Calculation_Details!$I$29=0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3" id="{075F7179-199D-B448-A51E-83D8D62A8D09}">
            <xm:f>Calculation_Details!$I$29=1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4" id="{DC166F51-67CD-A847-BBDD-FD91FB24456A}">
            <xm:f>Calculation_Details!$I$29=2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5" id="{E5459ED7-0636-C24B-A1CB-136E42DAAA6D}">
            <xm:f>Calculation_Details!$I$29=4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topLeftCell="A2" zoomScale="150" zoomScaleNormal="150" workbookViewId="0">
      <selection activeCell="A29" sqref="A29"/>
    </sheetView>
  </sheetViews>
  <sheetFormatPr baseColWidth="10" defaultColWidth="0" defaultRowHeight="13" zeroHeight="1" x14ac:dyDescent="0.15"/>
  <cols>
    <col min="1" max="1" width="45.83203125" customWidth="1"/>
    <col min="2" max="2" width="8.6640625" customWidth="1"/>
    <col min="3" max="3" width="76.6640625" customWidth="1"/>
    <col min="4" max="16384" width="10.83203125" hidden="1"/>
  </cols>
  <sheetData>
    <row r="1" spans="1:3" ht="16" x14ac:dyDescent="0.2">
      <c r="A1" s="19" t="s">
        <v>31</v>
      </c>
      <c r="B1" s="21" t="s">
        <v>124</v>
      </c>
    </row>
    <row r="2" spans="1:3" ht="31" customHeight="1" x14ac:dyDescent="0.2">
      <c r="A2" s="20" t="s">
        <v>164</v>
      </c>
      <c r="B2" s="21" t="s">
        <v>125</v>
      </c>
    </row>
    <row r="3" spans="1:3" x14ac:dyDescent="0.15">
      <c r="A3" s="1"/>
    </row>
    <row r="4" spans="1:3" x14ac:dyDescent="0.15">
      <c r="A4" s="4" t="s">
        <v>102</v>
      </c>
    </row>
    <row r="5" spans="1:3" x14ac:dyDescent="0.15">
      <c r="A5" s="1" t="s">
        <v>104</v>
      </c>
      <c r="B5" s="16">
        <v>1000</v>
      </c>
    </row>
    <row r="6" spans="1:3" x14ac:dyDescent="0.15">
      <c r="A6" s="1" t="s">
        <v>103</v>
      </c>
      <c r="B6" s="16">
        <v>8</v>
      </c>
    </row>
    <row r="7" spans="1:3" x14ac:dyDescent="0.15"/>
    <row r="8" spans="1:3" x14ac:dyDescent="0.15">
      <c r="A8" s="4" t="s">
        <v>62</v>
      </c>
      <c r="B8" s="5" t="s">
        <v>148</v>
      </c>
    </row>
    <row r="9" spans="1:3" x14ac:dyDescent="0.15">
      <c r="A9" s="1" t="s">
        <v>85</v>
      </c>
      <c r="B9" s="11" t="s">
        <v>90</v>
      </c>
      <c r="C9" t="s">
        <v>86</v>
      </c>
    </row>
    <row r="10" spans="1:3" x14ac:dyDescent="0.15">
      <c r="A10" s="1" t="s">
        <v>64</v>
      </c>
      <c r="B10" s="11" t="s">
        <v>90</v>
      </c>
      <c r="C10" t="s">
        <v>87</v>
      </c>
    </row>
    <row r="11" spans="1:3" x14ac:dyDescent="0.15">
      <c r="A11" s="1" t="s">
        <v>165</v>
      </c>
      <c r="B11" s="11">
        <v>12</v>
      </c>
    </row>
    <row r="12" spans="1:3" x14ac:dyDescent="0.15"/>
    <row r="13" spans="1:3" x14ac:dyDescent="0.15">
      <c r="A13" s="4" t="s">
        <v>66</v>
      </c>
    </row>
    <row r="14" spans="1:3" x14ac:dyDescent="0.15">
      <c r="A14" s="1" t="s">
        <v>46</v>
      </c>
      <c r="B14" s="9" t="e">
        <f>Calculation_Details!A41</f>
        <v>#DIV/0!</v>
      </c>
    </row>
    <row r="15" spans="1:3" x14ac:dyDescent="0.15">
      <c r="A15" s="1" t="s">
        <v>105</v>
      </c>
      <c r="B15" s="11">
        <v>8</v>
      </c>
      <c r="C15" s="23" t="s">
        <v>166</v>
      </c>
    </row>
    <row r="16" spans="1:3" x14ac:dyDescent="0.15"/>
    <row r="17" spans="1:3" x14ac:dyDescent="0.15">
      <c r="A17" s="1" t="s">
        <v>47</v>
      </c>
      <c r="B17" s="9" t="e">
        <f>Calculation_Details!A44</f>
        <v>#DIV/0!</v>
      </c>
      <c r="C17" t="s">
        <v>116</v>
      </c>
    </row>
    <row r="18" spans="1:3" x14ac:dyDescent="0.15">
      <c r="A18" s="1" t="s">
        <v>49</v>
      </c>
      <c r="B18" s="11">
        <v>1250</v>
      </c>
      <c r="C18" s="23" t="s">
        <v>167</v>
      </c>
    </row>
    <row r="19" spans="1:3" x14ac:dyDescent="0.15"/>
    <row r="20" spans="1:3" x14ac:dyDescent="0.15">
      <c r="A20" s="1" t="s">
        <v>50</v>
      </c>
      <c r="B20" s="7" t="e">
        <f>Calculation_Details!B47</f>
        <v>#DIV/0!</v>
      </c>
      <c r="C20" t="s">
        <v>133</v>
      </c>
    </row>
    <row r="21" spans="1:3" x14ac:dyDescent="0.15">
      <c r="A21" s="1" t="s">
        <v>114</v>
      </c>
      <c r="B21" s="7" t="e">
        <f>Calculation_Details!D44</f>
        <v>#DIV/0!</v>
      </c>
      <c r="C21" t="s">
        <v>51</v>
      </c>
    </row>
    <row r="22" spans="1:3" x14ac:dyDescent="0.15">
      <c r="A22" s="1" t="s">
        <v>115</v>
      </c>
      <c r="B22" s="30" t="e">
        <f>Calculation_Details!C44</f>
        <v>#DIV/0!</v>
      </c>
      <c r="C22" t="s">
        <v>134</v>
      </c>
    </row>
    <row r="23" spans="1:3" x14ac:dyDescent="0.15">
      <c r="A23" s="1"/>
    </row>
    <row r="24" spans="1:3" x14ac:dyDescent="0.15">
      <c r="A24" s="4" t="s">
        <v>56</v>
      </c>
    </row>
    <row r="25" spans="1:3" x14ac:dyDescent="0.15">
      <c r="A25" s="1" t="s">
        <v>57</v>
      </c>
      <c r="B25" s="9" t="e">
        <f>Calculation_Details!B37</f>
        <v>#DIV/0!</v>
      </c>
      <c r="C25" s="31" t="s">
        <v>58</v>
      </c>
    </row>
    <row r="26" spans="1:3" x14ac:dyDescent="0.15">
      <c r="C26" s="31" t="s">
        <v>60</v>
      </c>
    </row>
    <row r="27" spans="1:3" x14ac:dyDescent="0.15">
      <c r="C27" s="31" t="s">
        <v>113</v>
      </c>
    </row>
    <row r="28" spans="1:3" x14ac:dyDescent="0.15">
      <c r="C28" s="31" t="s">
        <v>59</v>
      </c>
    </row>
    <row r="29" spans="1:3" x14ac:dyDescent="0.15">
      <c r="A29" s="17" t="s">
        <v>101</v>
      </c>
    </row>
    <row r="30" spans="1:3" x14ac:dyDescent="0.15">
      <c r="A30" s="17" t="s">
        <v>110</v>
      </c>
    </row>
    <row r="31" spans="1:3" x14ac:dyDescent="0.15">
      <c r="A31" s="17"/>
    </row>
    <row r="32" spans="1:3" x14ac:dyDescent="0.15"/>
  </sheetData>
  <sheetProtection algorithmName="SHA-512" hashValue="7TkDsGPtE2IMZV2qBprrsFPaypyuvyOQ454UbLGt3Fegwe/0T7fLH4xbZDor2Rj7Xc70cqNtbQzl9E3QjxusIw==" saltValue="2I2wSvYyN5z3GCMX6nwARw==" spinCount="100000" sheet="1" objects="1" scenarios="1" selectLockedCells="1"/>
  <conditionalFormatting sqref="C9">
    <cfRule type="expression" dxfId="36" priority="20">
      <formula>$B$7="NO"</formula>
    </cfRule>
  </conditionalFormatting>
  <conditionalFormatting sqref="C10">
    <cfRule type="expression" dxfId="35" priority="19">
      <formula>$B$8="NO"</formula>
    </cfRule>
  </conditionalFormatting>
  <conditionalFormatting sqref="B20">
    <cfRule type="expression" dxfId="34" priority="16" stopIfTrue="1">
      <formula>$B$11="YES"</formula>
    </cfRule>
  </conditionalFormatting>
  <conditionalFormatting sqref="B21">
    <cfRule type="expression" dxfId="33" priority="9" stopIfTrue="1">
      <formula>$B$11="YES"</formula>
    </cfRule>
  </conditionalFormatting>
  <hyperlinks>
    <hyperlink ref="A29" location="Patient_Info!A1" display="To return to patient information tab, click here" xr:uid="{00000000-0004-0000-0200-000000000000}"/>
    <hyperlink ref="A30" location="Calculation_Details!A1" display="To view calculation details, click here" xr:uid="{00000000-0004-0000-0200-000001000000}"/>
  </hyperlinks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stopIfTrue="1" id="{C08BA6CE-8BB8-6B44-A82A-40C8E19B2782}">
            <xm:f>Patient_Info!$B$12</xm:f>
            <x14:dxf>
              <font>
                <color auto="1"/>
              </font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10" id="{AC2CCC72-21C1-8D49-B38E-ED413DADBA76}">
            <xm:f>Calculation_Details!$H$47=3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11" id="{762778FE-8352-2C42-80FA-3EF55A71A6F2}">
            <xm:f>Calculation_Details!$H$47=0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12" id="{DCE0D336-4384-E646-A6BE-89DDDB177F5A}">
            <xm:f>Calculation_Details!$H$47=1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13" id="{82FB5899-69EA-D144-A4FB-2C3E9C71D349}">
            <xm:f>Calculation_Details!$H$47=2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14" id="{EC77824A-118A-3C42-B4B6-0301793AAD4E}">
            <xm:f>Calculation_Details!$H$47=4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8" stopIfTrue="1" id="{6D4E9FC0-7FAF-CF47-A3C7-4461229625A7}">
            <xm:f>Patient_Info!$B$12</xm:f>
            <x14:dxf>
              <font>
                <color auto="1"/>
              </font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expression" priority="1" id="{D53B0F22-FE57-1E45-863B-DB4DC052C899}">
            <xm:f>Calculation_Details!$I$47=3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2" id="{E1EF49A4-22E4-A641-A3A2-EDDCE4E5DDEA}">
            <xm:f>Calculation_Details!$I$47=0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3" id="{5F3DD5A6-5505-8141-9D2C-2380EFFD45C2}">
            <xm:f>Calculation_Details!$I$47=1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4" id="{7D8A9BA9-4BD5-1C44-9ABB-76EB0E1A3F4A}">
            <xm:f>Calculation_Details!$I$47=2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5" id="{4DFF4F24-76E5-1845-B04F-EC1EB254021D}">
            <xm:f>Calculation_Details!$I$47=4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48FE80-1570-8345-9706-5E062DD3FE8A}">
          <x14:formula1>
            <xm:f>Calculation_Details!$K$6:$K$7</xm:f>
          </x14:formula1>
          <xm:sqref>B9:B10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topLeftCell="A2" zoomScale="150" zoomScaleNormal="150" workbookViewId="0">
      <selection activeCell="A33" sqref="A33"/>
    </sheetView>
  </sheetViews>
  <sheetFormatPr baseColWidth="10" defaultColWidth="0" defaultRowHeight="13" zeroHeight="1" x14ac:dyDescent="0.15"/>
  <cols>
    <col min="1" max="1" width="50.33203125" bestFit="1" customWidth="1"/>
    <col min="2" max="2" width="9" customWidth="1"/>
    <col min="3" max="3" width="79.83203125" customWidth="1"/>
    <col min="4" max="16384" width="10.83203125" hidden="1"/>
  </cols>
  <sheetData>
    <row r="1" spans="1:3" ht="16" x14ac:dyDescent="0.2">
      <c r="A1" s="19" t="s">
        <v>31</v>
      </c>
      <c r="B1" s="21" t="s">
        <v>124</v>
      </c>
    </row>
    <row r="2" spans="1:3" ht="34" x14ac:dyDescent="0.2">
      <c r="A2" s="20" t="s">
        <v>100</v>
      </c>
      <c r="B2" s="21" t="s">
        <v>125</v>
      </c>
    </row>
    <row r="3" spans="1:3" x14ac:dyDescent="0.15">
      <c r="A3" s="1"/>
    </row>
    <row r="4" spans="1:3" x14ac:dyDescent="0.15">
      <c r="A4" s="4" t="s">
        <v>102</v>
      </c>
    </row>
    <row r="5" spans="1:3" x14ac:dyDescent="0.15">
      <c r="A5" s="1" t="s">
        <v>104</v>
      </c>
      <c r="B5" s="16">
        <v>1000</v>
      </c>
    </row>
    <row r="6" spans="1:3" x14ac:dyDescent="0.15">
      <c r="A6" s="1" t="s">
        <v>103</v>
      </c>
      <c r="B6" s="16">
        <v>8</v>
      </c>
    </row>
    <row r="7" spans="1:3" x14ac:dyDescent="0.15">
      <c r="A7" s="1"/>
    </row>
    <row r="8" spans="1:3" x14ac:dyDescent="0.15">
      <c r="A8" s="4" t="s">
        <v>74</v>
      </c>
    </row>
    <row r="9" spans="1:3" x14ac:dyDescent="0.15">
      <c r="A9" s="1" t="s">
        <v>76</v>
      </c>
      <c r="B9" s="11">
        <v>33</v>
      </c>
      <c r="C9" t="s">
        <v>82</v>
      </c>
    </row>
    <row r="10" spans="1:3" x14ac:dyDescent="0.15">
      <c r="A10" s="1" t="s">
        <v>107</v>
      </c>
      <c r="B10" s="11">
        <v>1</v>
      </c>
    </row>
    <row r="11" spans="1:3" x14ac:dyDescent="0.15">
      <c r="A11" s="1" t="s">
        <v>84</v>
      </c>
      <c r="B11" s="11">
        <v>6</v>
      </c>
    </row>
    <row r="12" spans="1:3" x14ac:dyDescent="0.15">
      <c r="A12" s="1" t="s">
        <v>75</v>
      </c>
      <c r="B12" s="11">
        <v>15</v>
      </c>
      <c r="C12" t="s">
        <v>111</v>
      </c>
    </row>
    <row r="13" spans="1:3" x14ac:dyDescent="0.15">
      <c r="A13" s="1" t="s">
        <v>83</v>
      </c>
      <c r="B13" s="11">
        <v>0</v>
      </c>
    </row>
    <row r="14" spans="1:3" x14ac:dyDescent="0.15"/>
    <row r="15" spans="1:3" x14ac:dyDescent="0.15">
      <c r="A15" s="1" t="s">
        <v>147</v>
      </c>
      <c r="B15" s="7">
        <f>Calculation_Details!I55</f>
        <v>595.67984268070404</v>
      </c>
      <c r="C15" t="s">
        <v>133</v>
      </c>
    </row>
    <row r="16" spans="1:3" x14ac:dyDescent="0.15"/>
    <row r="17" spans="1:3" x14ac:dyDescent="0.15">
      <c r="A17" s="4" t="s">
        <v>66</v>
      </c>
    </row>
    <row r="18" spans="1:3" x14ac:dyDescent="0.15">
      <c r="A18" s="1" t="s">
        <v>46</v>
      </c>
      <c r="B18" s="9">
        <f>Calculation_Details!A59</f>
        <v>8</v>
      </c>
    </row>
    <row r="19" spans="1:3" x14ac:dyDescent="0.15">
      <c r="A19" s="1" t="s">
        <v>67</v>
      </c>
      <c r="B19" s="11">
        <v>8</v>
      </c>
      <c r="C19" s="23" t="s">
        <v>166</v>
      </c>
    </row>
    <row r="20" spans="1:3" x14ac:dyDescent="0.15"/>
    <row r="21" spans="1:3" x14ac:dyDescent="0.15">
      <c r="A21" s="1" t="s">
        <v>47</v>
      </c>
      <c r="B21" s="30">
        <f>Calculation_Details!A62</f>
        <v>1068.6799510071176</v>
      </c>
      <c r="C21" t="s">
        <v>116</v>
      </c>
    </row>
    <row r="22" spans="1:3" x14ac:dyDescent="0.15">
      <c r="A22" s="1" t="s">
        <v>49</v>
      </c>
      <c r="B22" s="11">
        <v>1000</v>
      </c>
      <c r="C22" s="23" t="s">
        <v>167</v>
      </c>
    </row>
    <row r="23" spans="1:3" x14ac:dyDescent="0.15"/>
    <row r="24" spans="1:3" x14ac:dyDescent="0.15">
      <c r="A24" s="1" t="s">
        <v>50</v>
      </c>
      <c r="B24" s="7">
        <f>Calculation_Details!B65</f>
        <v>616.24121012012029</v>
      </c>
      <c r="C24" t="s">
        <v>133</v>
      </c>
    </row>
    <row r="25" spans="1:3" x14ac:dyDescent="0.15">
      <c r="A25" s="1" t="s">
        <v>114</v>
      </c>
      <c r="B25" s="7">
        <f>Calculation_Details!D62</f>
        <v>14.036007680189089</v>
      </c>
      <c r="C25" t="s">
        <v>51</v>
      </c>
    </row>
    <row r="26" spans="1:3" x14ac:dyDescent="0.15">
      <c r="A26" s="1" t="s">
        <v>115</v>
      </c>
      <c r="B26" s="30">
        <f>Calculation_Details!C62</f>
        <v>37.634347152849081</v>
      </c>
      <c r="C26" t="s">
        <v>134</v>
      </c>
    </row>
    <row r="27" spans="1:3" x14ac:dyDescent="0.15">
      <c r="A27" s="1"/>
    </row>
    <row r="28" spans="1:3" x14ac:dyDescent="0.15">
      <c r="A28" s="4" t="s">
        <v>56</v>
      </c>
    </row>
    <row r="29" spans="1:3" x14ac:dyDescent="0.15">
      <c r="A29" s="1" t="s">
        <v>57</v>
      </c>
      <c r="B29" s="30">
        <f>Calculation_Details!B55</f>
        <v>5.2735889206221476</v>
      </c>
      <c r="C29" s="31" t="s">
        <v>58</v>
      </c>
    </row>
    <row r="30" spans="1:3" x14ac:dyDescent="0.15">
      <c r="C30" s="31" t="s">
        <v>60</v>
      </c>
    </row>
    <row r="31" spans="1:3" x14ac:dyDescent="0.15">
      <c r="C31" s="31" t="s">
        <v>113</v>
      </c>
    </row>
    <row r="32" spans="1:3" x14ac:dyDescent="0.15">
      <c r="C32" s="31" t="s">
        <v>59</v>
      </c>
    </row>
    <row r="33" spans="1:1" x14ac:dyDescent="0.15">
      <c r="A33" s="17" t="s">
        <v>101</v>
      </c>
    </row>
    <row r="34" spans="1:1" x14ac:dyDescent="0.15">
      <c r="A34" s="17" t="s">
        <v>110</v>
      </c>
    </row>
    <row r="35" spans="1:1" x14ac:dyDescent="0.15">
      <c r="A35" s="17"/>
    </row>
    <row r="36" spans="1:1" x14ac:dyDescent="0.15"/>
    <row r="37" spans="1:1" x14ac:dyDescent="0.15"/>
  </sheetData>
  <sheetProtection algorithmName="SHA-512" hashValue="bfd34jza1LgoVvPGFokn7ViHnTI+T8UvFTIPPqm1gJtvjwy6tdgXSzcynvQEIKth0GpF3du2YsRLc9BSarsYxA==" saltValue="A0EtesXIvvX2434Ta3noxA==" spinCount="100000" sheet="1" objects="1" scenarios="1" selectLockedCells="1"/>
  <conditionalFormatting sqref="B15">
    <cfRule type="expression" dxfId="20" priority="21" stopIfTrue="1">
      <formula>$B$11="YES"</formula>
    </cfRule>
  </conditionalFormatting>
  <conditionalFormatting sqref="B24">
    <cfRule type="expression" dxfId="19" priority="14" stopIfTrue="1">
      <formula>$B$11="YES"</formula>
    </cfRule>
  </conditionalFormatting>
  <conditionalFormatting sqref="B25">
    <cfRule type="expression" dxfId="18" priority="7" stopIfTrue="1">
      <formula>$B$11="YES"</formula>
    </cfRule>
  </conditionalFormatting>
  <hyperlinks>
    <hyperlink ref="A33" location="Patient_Info!A1" display="To return to patient information tab, click here" xr:uid="{00000000-0004-0000-0300-000000000000}"/>
    <hyperlink ref="A34" location="Calculation_Details!A1" display="To view calculation details, click here" xr:uid="{00000000-0004-0000-0300-000001000000}"/>
  </hyperlinks>
  <pageMargins left="0.75" right="0.75" top="1" bottom="1" header="0.5" footer="0.5"/>
  <pageSetup orientation="portrait" horizontalDpi="4294967292" verticalDpi="4294967292"/>
  <headerFooter alignWithMargins="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stopIfTrue="1" id="{6F292AB4-15D6-E04A-AFCF-7367A9F6C01C}">
            <xm:f>Patient_Info!$B$12</xm:f>
            <x14:dxf>
              <font>
                <color auto="1"/>
              </font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15" id="{0F00CC3E-5E4C-A44B-8DE5-CC298220BAA9}">
            <xm:f>Calculation_Details!$J$55=3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16" id="{9EE75767-4C01-2347-A136-BD5C8EF797CF}">
            <xm:f>Calculation_Details!$J$55=0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17" id="{4532BE90-A9F7-FB45-8387-87BB54071498}">
            <xm:f>Calculation_Details!$J$55=1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18" id="{63C560AE-24B5-6545-91F1-902576FCC87E}">
            <xm:f>Calculation_Details!$J$55=2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19" id="{30FF5D65-6BAF-1442-B98D-EC6BFE43CD09}">
            <xm:f>Calculation_Details!$J$55=4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13" stopIfTrue="1" id="{3526E4F1-5121-6845-8187-52F377FEB1FD}">
            <xm:f>Patient_Info!$B$12</xm:f>
            <x14:dxf>
              <font>
                <color auto="1"/>
              </font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8" id="{05DC8B0D-1EFC-874C-8211-2532D314C519}">
            <xm:f>Calculation_Details!$H$65=3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9" id="{45FAE4FC-7A0B-D748-A8A9-13147AB581F4}">
            <xm:f>Calculation_Details!$H$65=0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10" id="{EEA8CF34-AE10-9F46-9116-0B07FAC1BF5D}">
            <xm:f>Calculation_Details!$H$65=1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11" id="{13DFD0EC-5EA8-0642-825E-0901D4FAD10E}">
            <xm:f>Calculation_Details!$H$65=2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12" id="{56CC9F4A-2FEB-0640-8D40-F1B3D2B34DF8}">
            <xm:f>Calculation_Details!$H$65=4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6" stopIfTrue="1" id="{50681004-C620-074E-B4B7-A517EE36DE08}">
            <xm:f>Patient_Info!$B$12</xm:f>
            <x14:dxf>
              <font>
                <color auto="1"/>
              </font>
              <fill>
                <patternFill patternType="mediumGray">
                  <fgColor indexed="64"/>
                  <bgColor indexed="65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expression" priority="1" id="{B11209C2-D086-6441-839B-EF216358D0C5}">
            <xm:f>Calculation_Details!$I$65=3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2" id="{D562B96E-B0F6-CB48-961B-929ABE43C846}">
            <xm:f>Calculation_Details!$I$65=0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expression" priority="3" id="{1715C5FE-78AB-0446-8A81-320519848CF5}">
            <xm:f>Calculation_Details!$I$65=1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expression" priority="4" id="{BEDBCF7F-24ED-6E42-8F34-A1F6799EDD42}">
            <xm:f>Calculation_Details!$I$65=2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5" id="{3522C75A-36DD-664F-863D-3890955F62F8}">
            <xm:f>Calculation_Details!$I$65=4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6"/>
  <sheetViews>
    <sheetView topLeftCell="A31" zoomScale="125" zoomScaleNormal="125" workbookViewId="0">
      <selection activeCell="J52" sqref="J52"/>
    </sheetView>
  </sheetViews>
  <sheetFormatPr baseColWidth="10" defaultColWidth="22.6640625" defaultRowHeight="13" zeroHeight="1" x14ac:dyDescent="0.15"/>
  <cols>
    <col min="1" max="1" width="11" customWidth="1"/>
    <col min="2" max="2" width="13.5" bestFit="1" customWidth="1"/>
    <col min="3" max="3" width="15.6640625" customWidth="1"/>
    <col min="4" max="4" width="16" customWidth="1"/>
    <col min="5" max="5" width="8.83203125" customWidth="1"/>
    <col min="6" max="6" width="12.1640625" customWidth="1"/>
    <col min="7" max="7" width="10.83203125" customWidth="1"/>
    <col min="8" max="8" width="10.33203125" customWidth="1"/>
    <col min="9" max="254" width="8.83203125" customWidth="1"/>
    <col min="255" max="255" width="8" customWidth="1"/>
  </cols>
  <sheetData>
    <row r="1" spans="1:11" x14ac:dyDescent="0.15">
      <c r="A1" s="22" t="s">
        <v>94</v>
      </c>
      <c r="B1" s="13"/>
      <c r="C1" s="13"/>
      <c r="D1" s="13"/>
      <c r="E1" s="13"/>
      <c r="F1" s="13"/>
      <c r="G1" s="13"/>
    </row>
    <row r="2" spans="1:11" x14ac:dyDescent="0.15">
      <c r="A2" s="1" t="s">
        <v>0</v>
      </c>
      <c r="B2" s="1" t="s">
        <v>1</v>
      </c>
      <c r="C2" s="1" t="s">
        <v>118</v>
      </c>
      <c r="D2" s="1" t="s">
        <v>2</v>
      </c>
      <c r="E2" s="1" t="s">
        <v>16</v>
      </c>
    </row>
    <row r="3" spans="1:11" x14ac:dyDescent="0.15">
      <c r="A3" s="14">
        <f>Patient_Info!B5</f>
        <v>0</v>
      </c>
      <c r="B3" s="14">
        <f>Patient_Info!B7</f>
        <v>0</v>
      </c>
      <c r="C3" s="14">
        <f>Patient_Info!B8</f>
        <v>0</v>
      </c>
      <c r="D3" s="15">
        <f>Patient_Info!B9</f>
        <v>0</v>
      </c>
      <c r="E3">
        <f>IF(Patient_Info!B6="FEMALE",1,0)</f>
        <v>0</v>
      </c>
      <c r="K3" s="23" t="s">
        <v>92</v>
      </c>
    </row>
    <row r="4" spans="1:11" x14ac:dyDescent="0.15">
      <c r="K4" s="23" t="s">
        <v>93</v>
      </c>
    </row>
    <row r="5" spans="1:11" x14ac:dyDescent="0.15">
      <c r="A5" s="1" t="s">
        <v>3</v>
      </c>
      <c r="B5" s="1" t="s">
        <v>4</v>
      </c>
      <c r="C5" s="1" t="s">
        <v>14</v>
      </c>
      <c r="D5" s="1" t="s">
        <v>18</v>
      </c>
      <c r="E5" s="1" t="s">
        <v>128</v>
      </c>
    </row>
    <row r="6" spans="1:11" x14ac:dyDescent="0.15">
      <c r="A6">
        <f>IF(E3=1,(45.5+(2.3*(E6-60))),(50+(2.3*(E6-60))))</f>
        <v>-88</v>
      </c>
      <c r="B6">
        <f>0.4*(B3-A6)+A6</f>
        <v>-52.8</v>
      </c>
      <c r="C6">
        <f>B3/A6</f>
        <v>0</v>
      </c>
      <c r="D6" t="str">
        <f>IF(AND(A3&gt;65,D3&lt;1),"YES","NO")</f>
        <v>NO</v>
      </c>
      <c r="E6">
        <f>C3*0.393701</f>
        <v>0</v>
      </c>
      <c r="K6" s="23" t="s">
        <v>90</v>
      </c>
    </row>
    <row r="7" spans="1:11" x14ac:dyDescent="0.15">
      <c r="K7" s="23" t="s">
        <v>91</v>
      </c>
    </row>
    <row r="8" spans="1:11" x14ac:dyDescent="0.15">
      <c r="A8" s="1" t="s">
        <v>17</v>
      </c>
      <c r="B8" s="1" t="s">
        <v>121</v>
      </c>
      <c r="C8" s="1" t="s">
        <v>3</v>
      </c>
      <c r="D8" s="1" t="s">
        <v>19</v>
      </c>
      <c r="E8" s="1" t="s">
        <v>21</v>
      </c>
    </row>
    <row r="9" spans="1:11" x14ac:dyDescent="0.15">
      <c r="A9" s="1" t="s">
        <v>5</v>
      </c>
      <c r="B9" s="1" t="s">
        <v>5</v>
      </c>
      <c r="C9" s="1" t="s">
        <v>5</v>
      </c>
      <c r="D9" s="1" t="s">
        <v>5</v>
      </c>
      <c r="E9" s="1" t="s">
        <v>5</v>
      </c>
    </row>
    <row r="10" spans="1:11" x14ac:dyDescent="0.15">
      <c r="A10" t="e">
        <f>IF(E3&lt;=0,((140-A3)*B3)/((72)*(D3)),(0.85*((140-A3)*B3/(72*D3))))</f>
        <v>#DIV/0!</v>
      </c>
      <c r="B10" t="e">
        <f>IF(E3&lt;=0,((140-A3)*B6)/((72)*(D3)),(0.85*((140-A3)*B6/(72*D3))))</f>
        <v>#DIV/0!</v>
      </c>
      <c r="C10" t="e">
        <f>IF(E3&lt;=0,((140-A3)*A6)/((72)*(D3)),(0.85*((140-A3)*A6/(72*D3))))</f>
        <v>#DIV/0!</v>
      </c>
      <c r="D10">
        <f>IF(E3&lt;=0,((140-A3)*B3)/((72)),(0.85*((140-A3)*B3/(72*1))))</f>
        <v>0</v>
      </c>
      <c r="E10" s="15">
        <f>Patient_Info!B23</f>
        <v>0</v>
      </c>
      <c r="K10">
        <v>1</v>
      </c>
    </row>
    <row r="11" spans="1:11" x14ac:dyDescent="0.15">
      <c r="A11" s="1" t="s">
        <v>159</v>
      </c>
      <c r="K11">
        <v>2</v>
      </c>
    </row>
    <row r="12" spans="1:11" x14ac:dyDescent="0.15">
      <c r="A12" t="e">
        <f>IF(A10&gt;200,200,A10)</f>
        <v>#DIV/0!</v>
      </c>
      <c r="B12" t="e">
        <f>IF(B10&gt;200,200,B10)</f>
        <v>#DIV/0!</v>
      </c>
      <c r="C12" t="e">
        <f>IF(C10&gt;200,200,C10)</f>
        <v>#DIV/0!</v>
      </c>
      <c r="D12">
        <f>IF(D10&gt;200,200,D10)</f>
        <v>0</v>
      </c>
      <c r="E12" s="15">
        <f>E10</f>
        <v>0</v>
      </c>
      <c r="K12">
        <v>3</v>
      </c>
    </row>
    <row r="13" spans="1:11" x14ac:dyDescent="0.15">
      <c r="A13" s="1" t="s">
        <v>6</v>
      </c>
      <c r="B13" s="1" t="s">
        <v>6</v>
      </c>
      <c r="C13" s="1" t="s">
        <v>6</v>
      </c>
      <c r="D13" s="1" t="s">
        <v>6</v>
      </c>
      <c r="E13" s="1" t="s">
        <v>6</v>
      </c>
      <c r="K13">
        <v>4</v>
      </c>
    </row>
    <row r="14" spans="1:11" x14ac:dyDescent="0.15">
      <c r="A14" t="e">
        <f>(A12*60)/1000</f>
        <v>#DIV/0!</v>
      </c>
      <c r="B14" t="e">
        <f>(B12*60)/1000</f>
        <v>#DIV/0!</v>
      </c>
      <c r="C14" t="e">
        <f>(C12*60)/1000</f>
        <v>#DIV/0!</v>
      </c>
      <c r="D14">
        <f>(D12*60)/1000</f>
        <v>0</v>
      </c>
      <c r="E14">
        <f>(E12*60)/1000</f>
        <v>0</v>
      </c>
      <c r="K14">
        <v>5</v>
      </c>
    </row>
    <row r="15" spans="1:11" x14ac:dyDescent="0.15">
      <c r="A15" t="e">
        <f>(A10*0.00083)+0.0044</f>
        <v>#DIV/0!</v>
      </c>
      <c r="B15" t="e">
        <f>(B10*0.00083)+0.0044</f>
        <v>#DIV/0!</v>
      </c>
      <c r="C15" t="e">
        <f>(C10*0.00083)+0.0044</f>
        <v>#DIV/0!</v>
      </c>
      <c r="D15">
        <f>(D10*0.00083)+0.0044</f>
        <v>4.4000000000000003E-3</v>
      </c>
      <c r="E15">
        <f>(E10*0.00083)+0.0044</f>
        <v>4.4000000000000003E-3</v>
      </c>
      <c r="H15">
        <f>EXP(I15)</f>
        <v>0.49485029326771224</v>
      </c>
      <c r="I15">
        <v>-0.70350000000000001</v>
      </c>
    </row>
    <row r="16" spans="1:11" x14ac:dyDescent="0.15">
      <c r="A16" s="1" t="s">
        <v>22</v>
      </c>
    </row>
    <row r="17" spans="1:10" x14ac:dyDescent="0.15">
      <c r="A17">
        <f>Patient_Info!B25</f>
        <v>1</v>
      </c>
    </row>
    <row r="18" spans="1:10" x14ac:dyDescent="0.15">
      <c r="A18" s="2" t="s">
        <v>61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15">
      <c r="A19" s="1" t="s">
        <v>106</v>
      </c>
      <c r="B19" s="1" t="s">
        <v>73</v>
      </c>
      <c r="C19" s="1" t="s">
        <v>7</v>
      </c>
      <c r="D19" s="1" t="s">
        <v>8</v>
      </c>
    </row>
    <row r="20" spans="1:10" x14ac:dyDescent="0.15">
      <c r="A20">
        <f>0.7*B3</f>
        <v>0</v>
      </c>
      <c r="B20" t="e">
        <f>C20*A20</f>
        <v>#DIV/0!</v>
      </c>
      <c r="C20" t="e">
        <f>IF(A17=1,A15,IF(A17=2,B15,IF(A17=3,C15,IF(A17=4,D15,IF(A17=5,E15)))))</f>
        <v>#DIV/0!</v>
      </c>
      <c r="D20" t="e">
        <f>0.693/C20</f>
        <v>#DIV/0!</v>
      </c>
    </row>
    <row r="21" spans="1:10" x14ac:dyDescent="0.15"/>
    <row r="22" spans="1:10" x14ac:dyDescent="0.15">
      <c r="A22" s="1" t="s">
        <v>23</v>
      </c>
      <c r="B22" s="1" t="s">
        <v>24</v>
      </c>
      <c r="C22" s="1" t="s">
        <v>9</v>
      </c>
      <c r="D22" s="1" t="s">
        <v>12</v>
      </c>
      <c r="E22" s="1" t="s">
        <v>156</v>
      </c>
      <c r="F22" s="1" t="s">
        <v>157</v>
      </c>
      <c r="G22" s="1"/>
    </row>
    <row r="23" spans="1:10" x14ac:dyDescent="0.15">
      <c r="A23" t="e">
        <f>IF(D20&lt;=10,8,IF(AND(D20&gt;10,D20&lt;=18),12,IF(D20&gt;18,24)))</f>
        <v>#DIV/0!</v>
      </c>
      <c r="B23">
        <f>Vanco_InitialDose!B6</f>
        <v>8</v>
      </c>
      <c r="C23">
        <v>15</v>
      </c>
      <c r="D23" t="e">
        <f>-1*(C20*B23)</f>
        <v>#DIV/0!</v>
      </c>
      <c r="E23">
        <f>E26</f>
        <v>1</v>
      </c>
      <c r="F23" t="e">
        <f>(C20*-E23)</f>
        <v>#DIV/0!</v>
      </c>
    </row>
    <row r="24" spans="1:10" x14ac:dyDescent="0.15"/>
    <row r="25" spans="1:10" x14ac:dyDescent="0.15">
      <c r="A25" s="1" t="s">
        <v>10</v>
      </c>
      <c r="B25" s="1" t="s">
        <v>11</v>
      </c>
      <c r="C25" s="1" t="s">
        <v>71</v>
      </c>
      <c r="D25" s="1" t="s">
        <v>72</v>
      </c>
      <c r="E25" s="1" t="s">
        <v>81</v>
      </c>
      <c r="G25" s="1" t="s">
        <v>129</v>
      </c>
      <c r="H25" s="1" t="s">
        <v>130</v>
      </c>
      <c r="I25" s="1" t="s">
        <v>132</v>
      </c>
    </row>
    <row r="26" spans="1:10" x14ac:dyDescent="0.15">
      <c r="A26" t="e">
        <f>((C23*A20)*(1-EXP(D23))) / EXP(D23)</f>
        <v>#DIV/0!</v>
      </c>
      <c r="B26">
        <f>Vanco_InitialDose!B9</f>
        <v>1000</v>
      </c>
      <c r="C26" t="e">
        <f>((B26/(B20*E26))*((1-EXP(F23))/(1-EXP(D23))))</f>
        <v>#DIV/0!</v>
      </c>
      <c r="D26" t="e">
        <f>((B26/A20)*EXP(D23))/(1-EXP(D23))</f>
        <v>#DIV/0!</v>
      </c>
      <c r="E26">
        <f>IF(B26="","",IF(B26&lt;=1000,1,IF(B26&lt;1501,1.5,(IF(B26&gt;1501,2)))))</f>
        <v>1</v>
      </c>
      <c r="G26" t="e">
        <f>((C26+D26)/2)*E26</f>
        <v>#DIV/0!</v>
      </c>
      <c r="H26" t="e">
        <f>(C26-D26)/C20</f>
        <v>#DIV/0!</v>
      </c>
      <c r="I26" t="e">
        <f>(G26+H26)*(24/B23)</f>
        <v>#DIV/0!</v>
      </c>
    </row>
    <row r="27" spans="1:10" x14ac:dyDescent="0.15"/>
    <row r="28" spans="1:10" x14ac:dyDescent="0.15">
      <c r="A28" s="1" t="s">
        <v>20</v>
      </c>
      <c r="B28" s="1" t="s">
        <v>15</v>
      </c>
      <c r="C28" s="1" t="s">
        <v>25</v>
      </c>
      <c r="D28" s="1" t="s">
        <v>27</v>
      </c>
      <c r="E28" s="1" t="s">
        <v>26</v>
      </c>
      <c r="F28" s="1" t="s">
        <v>28</v>
      </c>
      <c r="G28" s="1" t="s">
        <v>131</v>
      </c>
      <c r="H28" s="1" t="s">
        <v>149</v>
      </c>
      <c r="I28" s="1" t="s">
        <v>150</v>
      </c>
      <c r="J28" s="1"/>
    </row>
    <row r="29" spans="1:10" x14ac:dyDescent="0.15">
      <c r="A29">
        <f>(B26*(24/B23))</f>
        <v>3000</v>
      </c>
      <c r="B29" t="e">
        <f>A29/B20</f>
        <v>#DIV/0!</v>
      </c>
      <c r="C29">
        <v>35</v>
      </c>
      <c r="D29">
        <f>C29*A20</f>
        <v>0</v>
      </c>
      <c r="E29">
        <v>2000</v>
      </c>
      <c r="F29" t="e">
        <f>E29/A20</f>
        <v>#DIV/0!</v>
      </c>
      <c r="G29" t="e">
        <f>A29/B20</f>
        <v>#DIV/0!</v>
      </c>
      <c r="H29" t="e">
        <f>IF(G29&lt;=300,0,IF(AND(G29&gt;300,G29&lt;=399),1,IF(AND(G29&gt;399,G29&lt;=600),2,IF(AND(G29&gt;600,G29&lt;=700),3,4))))</f>
        <v>#DIV/0!</v>
      </c>
      <c r="I29" t="e">
        <f>IF(D26&lt;=5,0,IF(AND(D26&gt;5,D26&lt;=10),1,IF(AND(D26&gt;10,D26&lt;=20),2,IF(AND(D26&gt;20,D26&lt;=25),3,4))))</f>
        <v>#DIV/0!</v>
      </c>
    </row>
    <row r="30" spans="1:10" x14ac:dyDescent="0.15">
      <c r="G30" s="24"/>
      <c r="H30" s="24"/>
      <c r="I30" s="24"/>
      <c r="J30" s="24"/>
    </row>
    <row r="31" spans="1:10" x14ac:dyDescent="0.15">
      <c r="A31" s="22" t="s">
        <v>68</v>
      </c>
      <c r="B31" s="13"/>
      <c r="C31" s="13"/>
      <c r="D31" s="13"/>
      <c r="E31" s="13"/>
      <c r="F31" s="13"/>
      <c r="G31" s="13"/>
      <c r="H31" s="13"/>
      <c r="I31" s="13"/>
    </row>
    <row r="32" spans="1:10" s="24" customFormat="1" x14ac:dyDescent="0.15">
      <c r="A32" s="25" t="s">
        <v>142</v>
      </c>
    </row>
    <row r="33" spans="1:10" ht="28" x14ac:dyDescent="0.15">
      <c r="A33" s="1" t="s">
        <v>144</v>
      </c>
      <c r="B33" s="26" t="s">
        <v>143</v>
      </c>
      <c r="C33" s="1" t="s">
        <v>65</v>
      </c>
      <c r="D33" s="1" t="s">
        <v>137</v>
      </c>
      <c r="E33" s="1" t="s">
        <v>140</v>
      </c>
    </row>
    <row r="34" spans="1:10" x14ac:dyDescent="0.15">
      <c r="A34">
        <f>Vanco_DoseRevisionTrough!B6</f>
        <v>8</v>
      </c>
      <c r="B34">
        <f>Vanco_DoseRevisionTrough!B11</f>
        <v>12</v>
      </c>
      <c r="C34" t="e">
        <f>(B34+(D34/A20))/B34</f>
        <v>#DIV/0!</v>
      </c>
      <c r="D34">
        <f>Vanco_DoseRevisionTrough!B5</f>
        <v>1000</v>
      </c>
      <c r="E34">
        <f>IF(D34="","",IF(D34&lt;=1000,1,IF(D34&lt;1501,1.5,(IF(D34&gt;1501,2)))))</f>
        <v>1</v>
      </c>
    </row>
    <row r="35" spans="1:10" x14ac:dyDescent="0.15"/>
    <row r="36" spans="1:10" x14ac:dyDescent="0.15">
      <c r="A36" s="1" t="s">
        <v>7</v>
      </c>
      <c r="B36" s="1" t="s">
        <v>8</v>
      </c>
      <c r="C36" s="1" t="s">
        <v>73</v>
      </c>
      <c r="D36" s="1" t="s">
        <v>71</v>
      </c>
      <c r="E36" s="1" t="s">
        <v>12</v>
      </c>
      <c r="F36" s="1" t="s">
        <v>157</v>
      </c>
      <c r="G36" s="1" t="s">
        <v>129</v>
      </c>
      <c r="H36" s="1" t="s">
        <v>130</v>
      </c>
      <c r="I36" s="1" t="s">
        <v>136</v>
      </c>
    </row>
    <row r="37" spans="1:10" x14ac:dyDescent="0.15">
      <c r="A37" t="e">
        <f>LN(C34)/A34</f>
        <v>#DIV/0!</v>
      </c>
      <c r="B37" t="e">
        <f>0.693/A37</f>
        <v>#DIV/0!</v>
      </c>
      <c r="C37" t="e">
        <f>A37*A20</f>
        <v>#DIV/0!</v>
      </c>
      <c r="D37" t="e">
        <f>((D34/(C37*E34))*(1-EXP(F41))/(1-EXP(D41)))</f>
        <v>#DIV/0!</v>
      </c>
      <c r="E37" t="e">
        <f>-1*(A37*A34)</f>
        <v>#DIV/0!</v>
      </c>
      <c r="F37" t="e">
        <f>(A37*-E34)</f>
        <v>#DIV/0!</v>
      </c>
      <c r="G37" t="e">
        <f>((B34+D37)/2)*E34</f>
        <v>#DIV/0!</v>
      </c>
      <c r="H37" t="e">
        <f>(D37-B34)/A37</f>
        <v>#DIV/0!</v>
      </c>
      <c r="I37" t="e">
        <f>(G37+H37)*(24/B34)</f>
        <v>#DIV/0!</v>
      </c>
    </row>
    <row r="38" spans="1:10" x14ac:dyDescent="0.15"/>
    <row r="39" spans="1:10" x14ac:dyDescent="0.15">
      <c r="A39" s="4" t="s">
        <v>141</v>
      </c>
    </row>
    <row r="40" spans="1:10" x14ac:dyDescent="0.15">
      <c r="A40" s="1" t="s">
        <v>23</v>
      </c>
      <c r="B40" s="1" t="s">
        <v>69</v>
      </c>
      <c r="C40" s="1" t="s">
        <v>70</v>
      </c>
      <c r="D40" s="1" t="s">
        <v>12</v>
      </c>
      <c r="E40" s="1" t="s">
        <v>156</v>
      </c>
      <c r="F40" s="1" t="s">
        <v>157</v>
      </c>
    </row>
    <row r="41" spans="1:10" x14ac:dyDescent="0.15">
      <c r="A41" t="e">
        <f>IF(B37&lt;=10,8,IF(AND(B37&gt;10,B37&lt;=18),12,IF(B37&gt;18,24)))</f>
        <v>#DIV/0!</v>
      </c>
      <c r="B41">
        <f>Vanco_DoseRevisionTrough!B15</f>
        <v>8</v>
      </c>
      <c r="C41">
        <v>15</v>
      </c>
      <c r="D41" t="e">
        <f>-1*(A37*B41)</f>
        <v>#DIV/0!</v>
      </c>
      <c r="E41">
        <f>E44</f>
        <v>1.5</v>
      </c>
      <c r="F41" t="e">
        <f>(A37*-E41)</f>
        <v>#DIV/0!</v>
      </c>
    </row>
    <row r="42" spans="1:10" x14ac:dyDescent="0.15"/>
    <row r="43" spans="1:10" x14ac:dyDescent="0.15">
      <c r="A43" s="1" t="s">
        <v>10</v>
      </c>
      <c r="B43" s="1" t="s">
        <v>11</v>
      </c>
      <c r="C43" s="1" t="s">
        <v>71</v>
      </c>
      <c r="D43" s="1" t="s">
        <v>72</v>
      </c>
      <c r="E43" s="1" t="s">
        <v>81</v>
      </c>
      <c r="G43" s="1" t="s">
        <v>129</v>
      </c>
      <c r="H43" s="1" t="s">
        <v>130</v>
      </c>
      <c r="I43" s="1" t="s">
        <v>136</v>
      </c>
    </row>
    <row r="44" spans="1:10" x14ac:dyDescent="0.15">
      <c r="A44" t="e">
        <f>((C41*A20)*(1-EXP(D41))) / EXP(D41)</f>
        <v>#DIV/0!</v>
      </c>
      <c r="B44">
        <f>Vanco_DoseRevisionTrough!B18</f>
        <v>1250</v>
      </c>
      <c r="C44" t="e">
        <f>((B44/A20)*EXP(F41))/(1-EXP(D41))</f>
        <v>#DIV/0!</v>
      </c>
      <c r="D44" t="e">
        <f>((B44/A20)*EXP(D41))/(1-EXP(D41))</f>
        <v>#DIV/0!</v>
      </c>
      <c r="E44">
        <f>IF(B44="","",IF(B44&lt;=1000,1,IF(B44&lt;1501,1.5,(IF(B44&gt;1501,2)))))</f>
        <v>1.5</v>
      </c>
      <c r="G44" t="e">
        <f>((C44+D44)/2)*E44</f>
        <v>#DIV/0!</v>
      </c>
      <c r="H44" t="e">
        <f>(C44-D44)/A37</f>
        <v>#DIV/0!</v>
      </c>
      <c r="I44" t="e">
        <f>(G44+H44)*(24/B41)</f>
        <v>#DIV/0!</v>
      </c>
    </row>
    <row r="45" spans="1:10" x14ac:dyDescent="0.15"/>
    <row r="46" spans="1:10" x14ac:dyDescent="0.15">
      <c r="A46" s="1" t="s">
        <v>20</v>
      </c>
      <c r="B46" s="1" t="s">
        <v>15</v>
      </c>
      <c r="C46" s="1" t="s">
        <v>25</v>
      </c>
      <c r="D46" s="1" t="s">
        <v>26</v>
      </c>
      <c r="E46" s="1" t="s">
        <v>131</v>
      </c>
      <c r="G46" s="1"/>
      <c r="H46" s="1" t="s">
        <v>149</v>
      </c>
      <c r="I46" s="1" t="s">
        <v>150</v>
      </c>
      <c r="J46" s="1"/>
    </row>
    <row r="47" spans="1:10" x14ac:dyDescent="0.15">
      <c r="A47">
        <f>(B44*(24/B41))</f>
        <v>3750</v>
      </c>
      <c r="B47" t="e">
        <f>(G44+H44)*(24/B41)</f>
        <v>#DIV/0!</v>
      </c>
      <c r="C47">
        <v>35</v>
      </c>
      <c r="D47">
        <f>(C47-B34)*A20</f>
        <v>0</v>
      </c>
      <c r="E47" t="e">
        <f>A47/C37</f>
        <v>#DIV/0!</v>
      </c>
      <c r="H47" t="e">
        <f>IF(B47&lt;=300,0,IF(AND(B47&gt;300,B47&lt;=399),1,IF(AND(B47&gt;399,B47&lt;=600),2,IF(AND(B47&gt;600,B47&lt;=700),3,4))))</f>
        <v>#DIV/0!</v>
      </c>
      <c r="I47" t="e">
        <f>IF(D44&lt;=5,0,IF(AND(D44&gt;5,D44&lt;=10),1,IF(AND(D44&gt;10,D44&lt;=20),2,IF(AND(D44&gt;20,D44&lt;=25),3,4))))</f>
        <v>#DIV/0!</v>
      </c>
    </row>
    <row r="48" spans="1:10" x14ac:dyDescent="0.15"/>
    <row r="49" spans="1:10" x14ac:dyDescent="0.15">
      <c r="A49" s="22" t="s">
        <v>77</v>
      </c>
      <c r="B49" s="13"/>
      <c r="C49" s="13"/>
      <c r="D49" s="13"/>
      <c r="E49" s="13"/>
      <c r="F49" s="13"/>
      <c r="G49" s="13"/>
    </row>
    <row r="50" spans="1:10" s="24" customFormat="1" x14ac:dyDescent="0.15">
      <c r="A50" s="25" t="s">
        <v>142</v>
      </c>
    </row>
    <row r="51" spans="1:10" x14ac:dyDescent="0.15">
      <c r="A51" s="1" t="s">
        <v>78</v>
      </c>
      <c r="B51" s="1" t="s">
        <v>108</v>
      </c>
      <c r="C51" s="1" t="s">
        <v>63</v>
      </c>
      <c r="D51" s="1" t="s">
        <v>109</v>
      </c>
      <c r="E51" s="1" t="s">
        <v>79</v>
      </c>
      <c r="F51" s="1" t="s">
        <v>145</v>
      </c>
      <c r="G51" s="1" t="s">
        <v>146</v>
      </c>
      <c r="H51" s="1" t="s">
        <v>137</v>
      </c>
      <c r="I51" s="1" t="s">
        <v>138</v>
      </c>
      <c r="J51" s="1" t="s">
        <v>139</v>
      </c>
    </row>
    <row r="52" spans="1:10" x14ac:dyDescent="0.15">
      <c r="A52">
        <f>Vanco_DoseRevisionTwoLevels!B9</f>
        <v>33</v>
      </c>
      <c r="B52">
        <f>Vanco_DoseRevisionTwoLevels!B10</f>
        <v>1</v>
      </c>
      <c r="C52">
        <f>Vanco_DoseRevisionTwoLevels!B11</f>
        <v>6</v>
      </c>
      <c r="D52">
        <f>Vanco_DoseRevisionTwoLevels!B13</f>
        <v>0</v>
      </c>
      <c r="E52">
        <f>Vanco_DoseRevisionTwoLevels!B12</f>
        <v>15</v>
      </c>
      <c r="F52">
        <f>(A52)/(EXP((-A55)*(B52)))</f>
        <v>37.634347152849088</v>
      </c>
      <c r="G52">
        <f>(E52)/(EXP((A55)*-D52))</f>
        <v>15</v>
      </c>
      <c r="H52">
        <f>Vanco_DoseRevisionTwoLevels!B5</f>
        <v>1000</v>
      </c>
      <c r="I52">
        <f>Vanco_DoseRevisionTwoLevels!B6</f>
        <v>8</v>
      </c>
      <c r="J52">
        <f>IF(H52="","",IF(H52&lt;=1000,1,IF(H52&lt;1501,1.5,(IF(H52&gt;1501,2)))))</f>
        <v>1</v>
      </c>
    </row>
    <row r="53" spans="1:10" x14ac:dyDescent="0.15"/>
    <row r="54" spans="1:10" x14ac:dyDescent="0.15">
      <c r="A54" s="1" t="s">
        <v>7</v>
      </c>
      <c r="B54" s="1" t="s">
        <v>8</v>
      </c>
      <c r="C54" s="1" t="s">
        <v>73</v>
      </c>
      <c r="D54" s="1" t="s">
        <v>80</v>
      </c>
      <c r="G54" s="1" t="s">
        <v>129</v>
      </c>
      <c r="H54" s="1" t="s">
        <v>130</v>
      </c>
      <c r="I54" s="1" t="s">
        <v>136</v>
      </c>
      <c r="J54" s="1" t="s">
        <v>149</v>
      </c>
    </row>
    <row r="55" spans="1:10" x14ac:dyDescent="0.15">
      <c r="A55">
        <f>(LN(A52/E52))/C52</f>
        <v>0.13140956006071172</v>
      </c>
      <c r="B55">
        <f>0.693/A55</f>
        <v>5.2735889206221476</v>
      </c>
      <c r="C55">
        <f>D55*A55</f>
        <v>5.0299852413169424</v>
      </c>
      <c r="D55">
        <f>((H52/J52)*(1-(EXP(A55*-J52)))/(A55*(F52-(G52*(EXP(A55*-J52))))))</f>
        <v>38.277163693365004</v>
      </c>
      <c r="G55">
        <f>((F52+G52)*(J52/2))</f>
        <v>26.317173576424544</v>
      </c>
      <c r="H55">
        <f>(F52-G52)/A55</f>
        <v>172.24277398381011</v>
      </c>
      <c r="I55">
        <f>(G55+H55)*(24/I52)</f>
        <v>595.67984268070404</v>
      </c>
      <c r="J55">
        <f>IF(I55&lt;=300,0,IF(AND(I55&gt;300,I55&lt;=399),1,IF(AND(I55&gt;399,I55&lt;=600),2,IF(AND(I55&gt;600,I55&lt;=700),3,4))))</f>
        <v>2</v>
      </c>
    </row>
    <row r="56" spans="1:10" x14ac:dyDescent="0.15"/>
    <row r="57" spans="1:10" x14ac:dyDescent="0.15">
      <c r="A57" s="4" t="s">
        <v>141</v>
      </c>
    </row>
    <row r="58" spans="1:10" x14ac:dyDescent="0.15">
      <c r="A58" s="1" t="s">
        <v>23</v>
      </c>
      <c r="B58" s="1" t="s">
        <v>69</v>
      </c>
      <c r="C58" s="1" t="s">
        <v>70</v>
      </c>
      <c r="D58" s="1" t="s">
        <v>12</v>
      </c>
      <c r="E58" s="1" t="s">
        <v>135</v>
      </c>
      <c r="F58" s="1" t="s">
        <v>13</v>
      </c>
      <c r="G58" s="1"/>
    </row>
    <row r="59" spans="1:10" x14ac:dyDescent="0.15">
      <c r="A59">
        <f>IF(B55&lt;=10,8,IF(AND(B55&gt;10,B55&lt;=18),12,IF(B55&gt;18,24)))</f>
        <v>8</v>
      </c>
      <c r="B59">
        <f>Vanco_DoseRevisionTwoLevels!B19</f>
        <v>8</v>
      </c>
      <c r="C59">
        <v>15</v>
      </c>
      <c r="D59">
        <f>-1*(A55*B59)</f>
        <v>-1.0512764804856938</v>
      </c>
      <c r="E59">
        <f>E62+1</f>
        <v>2</v>
      </c>
      <c r="F59">
        <f>(A55*-E62)</f>
        <v>-0.13140956006071172</v>
      </c>
    </row>
    <row r="60" spans="1:10" x14ac:dyDescent="0.15"/>
    <row r="61" spans="1:10" x14ac:dyDescent="0.15">
      <c r="A61" s="1" t="s">
        <v>10</v>
      </c>
      <c r="B61" s="1" t="s">
        <v>11</v>
      </c>
      <c r="C61" s="1" t="s">
        <v>71</v>
      </c>
      <c r="D61" s="1" t="s">
        <v>72</v>
      </c>
      <c r="E61" s="1" t="s">
        <v>81</v>
      </c>
      <c r="G61" s="1" t="s">
        <v>129</v>
      </c>
      <c r="H61" s="1" t="s">
        <v>130</v>
      </c>
      <c r="I61" s="1" t="s">
        <v>136</v>
      </c>
    </row>
    <row r="62" spans="1:10" x14ac:dyDescent="0.15">
      <c r="A62">
        <f>((C59*D55)*(1-EXP(D59))) / EXP(D59)</f>
        <v>1068.6799510071176</v>
      </c>
      <c r="B62">
        <f>Vanco_DoseRevisionTwoLevels!B22</f>
        <v>1000</v>
      </c>
      <c r="C62">
        <f>((B62/(C55*E62))*(1-EXP(F59))/(1-EXP(D59)))</f>
        <v>37.634347152849081</v>
      </c>
      <c r="D62">
        <f>((B62/D55)*EXP(D59))/(1-EXP(D59))</f>
        <v>14.036007680189089</v>
      </c>
      <c r="E62">
        <f>IF(B62="","",IF(B62&lt;=1000,1,IF(B62&lt;1501,1.5,(IF(B62&gt;1501,2)))))</f>
        <v>1</v>
      </c>
      <c r="G62">
        <f>((C62+D62)*(E62/2))</f>
        <v>25.835177416519084</v>
      </c>
      <c r="H62">
        <f>(C62-D62)/A55</f>
        <v>179.57855929018766</v>
      </c>
      <c r="I62">
        <f>(G62+H62)*(24/B59)</f>
        <v>616.24121012012029</v>
      </c>
    </row>
    <row r="63" spans="1:10" x14ac:dyDescent="0.15"/>
    <row r="64" spans="1:10" x14ac:dyDescent="0.15">
      <c r="A64" s="1" t="s">
        <v>20</v>
      </c>
      <c r="B64" s="1" t="s">
        <v>15</v>
      </c>
      <c r="C64" s="1" t="s">
        <v>25</v>
      </c>
      <c r="D64" s="1" t="s">
        <v>26</v>
      </c>
      <c r="E64" s="1" t="s">
        <v>131</v>
      </c>
      <c r="H64" s="1" t="s">
        <v>149</v>
      </c>
      <c r="I64" s="1" t="s">
        <v>150</v>
      </c>
      <c r="J64" s="1"/>
    </row>
    <row r="65" spans="1:9" x14ac:dyDescent="0.15">
      <c r="A65">
        <f>(B62*(24/B59))</f>
        <v>3000</v>
      </c>
      <c r="B65">
        <f>I62</f>
        <v>616.24121012012029</v>
      </c>
      <c r="C65">
        <v>35</v>
      </c>
      <c r="D65">
        <f>(C65-E52)*D55</f>
        <v>765.54327386730006</v>
      </c>
      <c r="E65">
        <f>A65/C55</f>
        <v>596.42322115731395</v>
      </c>
      <c r="H65">
        <f>IF(B65&lt;=300,0,IF(AND(B65&gt;300,B65&lt;=399),1,IF(AND(B65&gt;399,B65&lt;=600),2,IF(AND(B65&gt;600,B65&lt;=700),3,4))))</f>
        <v>3</v>
      </c>
      <c r="I65">
        <f>IF(D62&lt;=5,0,IF(AND(D62&gt;5,D62&lt;=10),1,IF(AND(D62&gt;10,D62&lt;=20),2,IF(AND(D62&gt;20,D62&lt;=25),3,4))))</f>
        <v>2</v>
      </c>
    </row>
    <row r="66" spans="1:9" x14ac:dyDescent="0.15"/>
  </sheetData>
  <sheetProtection algorithmName="SHA-512" hashValue="SHEcTWjVjjoUDRIhEZLjpTd8HFdfQHr3BW4FYsh5BKTw1QBSfiCqOJz7HA0xs0COUTjTR98Dn6YkqH0sO99ZBw==" saltValue="EMvpMr+cZdw9MiOsNkHK/g==" spinCount="100000" sheet="1" objects="1" scenarios="1"/>
  <phoneticPr fontId="3" type="noConversion"/>
  <pageMargins left="0.75" right="0.75" top="1" bottom="1" header="0.5" footer="0.5"/>
  <pageSetup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7CE8-6620-6243-B4ED-D575B9DF458A}">
  <dimension ref="A1:A4"/>
  <sheetViews>
    <sheetView workbookViewId="0">
      <selection activeCell="E11" sqref="E11"/>
    </sheetView>
  </sheetViews>
  <sheetFormatPr baseColWidth="10" defaultRowHeight="13" x14ac:dyDescent="0.15"/>
  <sheetData>
    <row r="1" spans="1:1" ht="20" x14ac:dyDescent="0.2">
      <c r="A1" s="33" t="s">
        <v>153</v>
      </c>
    </row>
    <row r="2" spans="1:1" ht="20" x14ac:dyDescent="0.2">
      <c r="A2" s="33" t="s">
        <v>154</v>
      </c>
    </row>
    <row r="3" spans="1:1" ht="20" x14ac:dyDescent="0.2">
      <c r="A3" s="33" t="s">
        <v>155</v>
      </c>
    </row>
    <row r="4" spans="1:1" ht="20" x14ac:dyDescent="0.2">
      <c r="A4" s="33"/>
    </row>
  </sheetData>
  <sheetProtection algorithmName="SHA-512" hashValue="QNMG/pn42GtHik21kjML//Abzrt25l93CyKsPtIAwjUrZrIuhx9pjFe0esTEh8p7O8ITtyS/u3FOAz4bvi5mvQ==" saltValue="fbESNpsmWFa1QwwQv8z5o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workbookViewId="0">
      <selection activeCell="E3" sqref="E3"/>
    </sheetView>
  </sheetViews>
  <sheetFormatPr baseColWidth="10" defaultRowHeight="13" x14ac:dyDescent="0.15"/>
  <sheetData>
    <row r="1" spans="1:5" x14ac:dyDescent="0.15">
      <c r="A1" t="s">
        <v>90</v>
      </c>
      <c r="B1">
        <v>1</v>
      </c>
      <c r="C1">
        <v>6</v>
      </c>
      <c r="D1">
        <v>250</v>
      </c>
      <c r="E1" t="s">
        <v>92</v>
      </c>
    </row>
    <row r="2" spans="1:5" x14ac:dyDescent="0.15">
      <c r="A2" t="s">
        <v>91</v>
      </c>
      <c r="B2">
        <v>2</v>
      </c>
      <c r="C2">
        <v>8</v>
      </c>
      <c r="D2">
        <v>500</v>
      </c>
      <c r="E2" t="s">
        <v>93</v>
      </c>
    </row>
    <row r="3" spans="1:5" x14ac:dyDescent="0.15">
      <c r="B3">
        <v>3</v>
      </c>
      <c r="C3">
        <v>12</v>
      </c>
      <c r="D3">
        <v>750</v>
      </c>
    </row>
    <row r="4" spans="1:5" x14ac:dyDescent="0.15">
      <c r="B4">
        <v>4</v>
      </c>
      <c r="C4">
        <v>24</v>
      </c>
      <c r="D4">
        <v>1000</v>
      </c>
    </row>
    <row r="5" spans="1:5" x14ac:dyDescent="0.15">
      <c r="B5">
        <v>5</v>
      </c>
      <c r="D5">
        <v>1250</v>
      </c>
    </row>
    <row r="6" spans="1:5" x14ac:dyDescent="0.15">
      <c r="D6">
        <v>1500</v>
      </c>
    </row>
    <row r="7" spans="1:5" x14ac:dyDescent="0.15">
      <c r="D7">
        <v>2000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29"/>
  <sheetViews>
    <sheetView workbookViewId="0">
      <selection activeCell="E3" sqref="E3"/>
    </sheetView>
  </sheetViews>
  <sheetFormatPr baseColWidth="10" defaultColWidth="8.83203125" defaultRowHeight="13" x14ac:dyDescent="0.15"/>
  <sheetData>
    <row r="2" spans="1:2" x14ac:dyDescent="0.15">
      <c r="A2">
        <v>24</v>
      </c>
      <c r="B2">
        <v>250</v>
      </c>
    </row>
    <row r="3" spans="1:2" x14ac:dyDescent="0.15">
      <c r="A3">
        <v>24</v>
      </c>
      <c r="B3">
        <v>500</v>
      </c>
    </row>
    <row r="4" spans="1:2" x14ac:dyDescent="0.15">
      <c r="A4">
        <v>24</v>
      </c>
      <c r="B4">
        <v>750</v>
      </c>
    </row>
    <row r="5" spans="1:2" x14ac:dyDescent="0.15">
      <c r="A5">
        <v>24</v>
      </c>
      <c r="B5">
        <v>1000</v>
      </c>
    </row>
    <row r="6" spans="1:2" x14ac:dyDescent="0.15">
      <c r="A6">
        <v>24</v>
      </c>
      <c r="B6">
        <v>1250</v>
      </c>
    </row>
    <row r="7" spans="1:2" x14ac:dyDescent="0.15">
      <c r="A7">
        <v>24</v>
      </c>
      <c r="B7">
        <v>1500</v>
      </c>
    </row>
    <row r="8" spans="1:2" x14ac:dyDescent="0.15">
      <c r="A8">
        <v>24</v>
      </c>
      <c r="B8">
        <v>2000</v>
      </c>
    </row>
    <row r="9" spans="1:2" x14ac:dyDescent="0.15">
      <c r="A9">
        <v>12</v>
      </c>
      <c r="B9">
        <v>250</v>
      </c>
    </row>
    <row r="10" spans="1:2" x14ac:dyDescent="0.15">
      <c r="A10">
        <v>12</v>
      </c>
      <c r="B10">
        <v>500</v>
      </c>
    </row>
    <row r="11" spans="1:2" x14ac:dyDescent="0.15">
      <c r="A11">
        <v>12</v>
      </c>
      <c r="B11">
        <v>750</v>
      </c>
    </row>
    <row r="12" spans="1:2" x14ac:dyDescent="0.15">
      <c r="A12">
        <v>12</v>
      </c>
      <c r="B12">
        <v>1000</v>
      </c>
    </row>
    <row r="13" spans="1:2" x14ac:dyDescent="0.15">
      <c r="A13">
        <v>12</v>
      </c>
      <c r="B13">
        <v>1250</v>
      </c>
    </row>
    <row r="14" spans="1:2" x14ac:dyDescent="0.15">
      <c r="A14">
        <v>12</v>
      </c>
      <c r="B14">
        <v>1500</v>
      </c>
    </row>
    <row r="15" spans="1:2" x14ac:dyDescent="0.15">
      <c r="A15">
        <v>12</v>
      </c>
      <c r="B15">
        <v>2000</v>
      </c>
    </row>
    <row r="16" spans="1:2" x14ac:dyDescent="0.15">
      <c r="A16">
        <v>8</v>
      </c>
      <c r="B16">
        <v>250</v>
      </c>
    </row>
    <row r="17" spans="1:2" x14ac:dyDescent="0.15">
      <c r="A17">
        <v>8</v>
      </c>
      <c r="B17">
        <v>500</v>
      </c>
    </row>
    <row r="18" spans="1:2" x14ac:dyDescent="0.15">
      <c r="A18">
        <v>8</v>
      </c>
      <c r="B18">
        <v>750</v>
      </c>
    </row>
    <row r="19" spans="1:2" x14ac:dyDescent="0.15">
      <c r="A19">
        <v>8</v>
      </c>
      <c r="B19">
        <v>1000</v>
      </c>
    </row>
    <row r="20" spans="1:2" x14ac:dyDescent="0.15">
      <c r="A20">
        <v>8</v>
      </c>
      <c r="B20">
        <v>1250</v>
      </c>
    </row>
    <row r="21" spans="1:2" x14ac:dyDescent="0.15">
      <c r="A21">
        <v>8</v>
      </c>
      <c r="B21">
        <v>1500</v>
      </c>
    </row>
    <row r="22" spans="1:2" x14ac:dyDescent="0.15">
      <c r="A22">
        <v>8</v>
      </c>
      <c r="B22">
        <v>2000</v>
      </c>
    </row>
    <row r="23" spans="1:2" x14ac:dyDescent="0.15">
      <c r="A23">
        <v>6</v>
      </c>
      <c r="B23">
        <v>250</v>
      </c>
    </row>
    <row r="24" spans="1:2" x14ac:dyDescent="0.15">
      <c r="A24">
        <v>6</v>
      </c>
      <c r="B24">
        <v>500</v>
      </c>
    </row>
    <row r="25" spans="1:2" x14ac:dyDescent="0.15">
      <c r="A25">
        <v>6</v>
      </c>
      <c r="B25">
        <v>750</v>
      </c>
    </row>
    <row r="26" spans="1:2" x14ac:dyDescent="0.15">
      <c r="A26">
        <v>6</v>
      </c>
      <c r="B26">
        <v>1000</v>
      </c>
    </row>
    <row r="27" spans="1:2" x14ac:dyDescent="0.15">
      <c r="A27">
        <v>6</v>
      </c>
      <c r="B27">
        <v>1250</v>
      </c>
    </row>
    <row r="28" spans="1:2" x14ac:dyDescent="0.15">
      <c r="A28">
        <v>6</v>
      </c>
      <c r="B28">
        <v>1500</v>
      </c>
    </row>
    <row r="29" spans="1:2" x14ac:dyDescent="0.15">
      <c r="A29">
        <v>6</v>
      </c>
      <c r="B29">
        <v>2000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1"/>
  <sheetViews>
    <sheetView topLeftCell="A35" workbookViewId="0">
      <selection activeCell="E3" sqref="E3"/>
    </sheetView>
  </sheetViews>
  <sheetFormatPr baseColWidth="10" defaultColWidth="8.83203125" defaultRowHeight="13" x14ac:dyDescent="0.15"/>
  <sheetData>
    <row r="1" spans="1:4" x14ac:dyDescent="0.15">
      <c r="A1">
        <v>45</v>
      </c>
      <c r="B1">
        <v>10</v>
      </c>
      <c r="C1">
        <v>250</v>
      </c>
      <c r="D1">
        <v>6</v>
      </c>
    </row>
    <row r="2" spans="1:4" x14ac:dyDescent="0.15">
      <c r="A2">
        <v>46</v>
      </c>
      <c r="B2">
        <v>11</v>
      </c>
      <c r="C2">
        <v>500</v>
      </c>
      <c r="D2">
        <v>8</v>
      </c>
    </row>
    <row r="3" spans="1:4" x14ac:dyDescent="0.15">
      <c r="A3">
        <v>47</v>
      </c>
      <c r="B3">
        <v>12</v>
      </c>
      <c r="C3">
        <v>750</v>
      </c>
      <c r="D3">
        <v>12</v>
      </c>
    </row>
    <row r="4" spans="1:4" x14ac:dyDescent="0.15">
      <c r="A4">
        <v>48</v>
      </c>
      <c r="B4">
        <v>13</v>
      </c>
      <c r="C4">
        <v>1000</v>
      </c>
      <c r="D4">
        <v>24</v>
      </c>
    </row>
    <row r="5" spans="1:4" x14ac:dyDescent="0.15">
      <c r="A5">
        <v>49</v>
      </c>
      <c r="B5">
        <v>14</v>
      </c>
      <c r="C5">
        <v>1250</v>
      </c>
    </row>
    <row r="6" spans="1:4" x14ac:dyDescent="0.15">
      <c r="A6">
        <v>50</v>
      </c>
      <c r="B6">
        <v>15</v>
      </c>
      <c r="C6">
        <v>1500</v>
      </c>
    </row>
    <row r="7" spans="1:4" x14ac:dyDescent="0.15">
      <c r="A7">
        <v>51</v>
      </c>
      <c r="B7">
        <v>16</v>
      </c>
      <c r="C7">
        <v>2000</v>
      </c>
    </row>
    <row r="8" spans="1:4" x14ac:dyDescent="0.15">
      <c r="A8">
        <v>52</v>
      </c>
      <c r="B8">
        <v>17</v>
      </c>
    </row>
    <row r="9" spans="1:4" x14ac:dyDescent="0.15">
      <c r="A9">
        <v>53</v>
      </c>
      <c r="B9">
        <v>18</v>
      </c>
    </row>
    <row r="10" spans="1:4" x14ac:dyDescent="0.15">
      <c r="A10">
        <v>54</v>
      </c>
      <c r="B10">
        <v>19</v>
      </c>
    </row>
    <row r="11" spans="1:4" x14ac:dyDescent="0.15">
      <c r="A11">
        <v>55</v>
      </c>
      <c r="B11">
        <v>20</v>
      </c>
    </row>
    <row r="12" spans="1:4" x14ac:dyDescent="0.15">
      <c r="A12">
        <v>56</v>
      </c>
      <c r="B12">
        <v>21</v>
      </c>
    </row>
    <row r="13" spans="1:4" x14ac:dyDescent="0.15">
      <c r="A13">
        <v>57</v>
      </c>
      <c r="B13">
        <v>22</v>
      </c>
    </row>
    <row r="14" spans="1:4" x14ac:dyDescent="0.15">
      <c r="A14">
        <v>58</v>
      </c>
      <c r="B14">
        <v>23</v>
      </c>
    </row>
    <row r="15" spans="1:4" x14ac:dyDescent="0.15">
      <c r="A15">
        <v>59</v>
      </c>
      <c r="B15">
        <v>24</v>
      </c>
    </row>
    <row r="16" spans="1:4" x14ac:dyDescent="0.15">
      <c r="A16">
        <v>60</v>
      </c>
      <c r="B16">
        <v>25</v>
      </c>
    </row>
    <row r="17" spans="1:2" x14ac:dyDescent="0.15">
      <c r="A17">
        <v>61</v>
      </c>
      <c r="B17">
        <v>26</v>
      </c>
    </row>
    <row r="18" spans="1:2" x14ac:dyDescent="0.15">
      <c r="A18">
        <v>62</v>
      </c>
      <c r="B18">
        <v>27</v>
      </c>
    </row>
    <row r="19" spans="1:2" x14ac:dyDescent="0.15">
      <c r="A19">
        <v>63</v>
      </c>
      <c r="B19">
        <v>28</v>
      </c>
    </row>
    <row r="20" spans="1:2" x14ac:dyDescent="0.15">
      <c r="A20">
        <v>64</v>
      </c>
      <c r="B20">
        <v>29</v>
      </c>
    </row>
    <row r="21" spans="1:2" x14ac:dyDescent="0.15">
      <c r="A21">
        <v>65</v>
      </c>
      <c r="B21">
        <v>30</v>
      </c>
    </row>
    <row r="22" spans="1:2" x14ac:dyDescent="0.15">
      <c r="A22">
        <v>66</v>
      </c>
      <c r="B22">
        <v>31</v>
      </c>
    </row>
    <row r="23" spans="1:2" x14ac:dyDescent="0.15">
      <c r="A23">
        <v>67</v>
      </c>
      <c r="B23">
        <v>32</v>
      </c>
    </row>
    <row r="24" spans="1:2" x14ac:dyDescent="0.15">
      <c r="A24">
        <v>68</v>
      </c>
      <c r="B24">
        <v>33</v>
      </c>
    </row>
    <row r="25" spans="1:2" x14ac:dyDescent="0.15">
      <c r="A25">
        <v>69</v>
      </c>
      <c r="B25">
        <v>34</v>
      </c>
    </row>
    <row r="26" spans="1:2" x14ac:dyDescent="0.15">
      <c r="A26">
        <v>70</v>
      </c>
      <c r="B26">
        <v>35</v>
      </c>
    </row>
    <row r="27" spans="1:2" x14ac:dyDescent="0.15">
      <c r="A27">
        <v>71</v>
      </c>
      <c r="B27">
        <v>36</v>
      </c>
    </row>
    <row r="28" spans="1:2" x14ac:dyDescent="0.15">
      <c r="A28">
        <v>72</v>
      </c>
      <c r="B28">
        <v>37</v>
      </c>
    </row>
    <row r="29" spans="1:2" x14ac:dyDescent="0.15">
      <c r="A29">
        <v>73</v>
      </c>
      <c r="B29">
        <v>38</v>
      </c>
    </row>
    <row r="30" spans="1:2" x14ac:dyDescent="0.15">
      <c r="A30">
        <v>74</v>
      </c>
      <c r="B30">
        <v>39</v>
      </c>
    </row>
    <row r="31" spans="1:2" x14ac:dyDescent="0.15">
      <c r="A31">
        <v>75</v>
      </c>
      <c r="B31">
        <v>40</v>
      </c>
    </row>
    <row r="32" spans="1:2" x14ac:dyDescent="0.15">
      <c r="A32">
        <v>76</v>
      </c>
      <c r="B32">
        <v>41</v>
      </c>
    </row>
    <row r="33" spans="1:2" x14ac:dyDescent="0.15">
      <c r="A33">
        <v>77</v>
      </c>
      <c r="B33">
        <v>42</v>
      </c>
    </row>
    <row r="34" spans="1:2" x14ac:dyDescent="0.15">
      <c r="A34">
        <v>78</v>
      </c>
      <c r="B34">
        <v>43</v>
      </c>
    </row>
    <row r="35" spans="1:2" x14ac:dyDescent="0.15">
      <c r="A35">
        <v>79</v>
      </c>
      <c r="B35">
        <v>44</v>
      </c>
    </row>
    <row r="36" spans="1:2" x14ac:dyDescent="0.15">
      <c r="A36">
        <v>80</v>
      </c>
      <c r="B36">
        <v>45</v>
      </c>
    </row>
    <row r="37" spans="1:2" x14ac:dyDescent="0.15">
      <c r="A37">
        <v>81</v>
      </c>
      <c r="B37">
        <v>46</v>
      </c>
    </row>
    <row r="38" spans="1:2" x14ac:dyDescent="0.15">
      <c r="A38">
        <v>82</v>
      </c>
      <c r="B38">
        <v>47</v>
      </c>
    </row>
    <row r="39" spans="1:2" x14ac:dyDescent="0.15">
      <c r="A39">
        <v>83</v>
      </c>
      <c r="B39">
        <v>48</v>
      </c>
    </row>
    <row r="40" spans="1:2" x14ac:dyDescent="0.15">
      <c r="A40">
        <v>84</v>
      </c>
      <c r="B40">
        <v>49</v>
      </c>
    </row>
    <row r="41" spans="1:2" x14ac:dyDescent="0.15">
      <c r="A41">
        <v>85</v>
      </c>
      <c r="B41">
        <v>50</v>
      </c>
    </row>
    <row r="42" spans="1:2" x14ac:dyDescent="0.15">
      <c r="A42">
        <v>86</v>
      </c>
      <c r="B42">
        <v>51</v>
      </c>
    </row>
    <row r="43" spans="1:2" x14ac:dyDescent="0.15">
      <c r="A43">
        <v>87</v>
      </c>
      <c r="B43">
        <v>52</v>
      </c>
    </row>
    <row r="44" spans="1:2" x14ac:dyDescent="0.15">
      <c r="A44">
        <v>88</v>
      </c>
      <c r="B44">
        <v>53</v>
      </c>
    </row>
    <row r="45" spans="1:2" x14ac:dyDescent="0.15">
      <c r="A45">
        <v>89</v>
      </c>
      <c r="B45">
        <v>54</v>
      </c>
    </row>
    <row r="46" spans="1:2" x14ac:dyDescent="0.15">
      <c r="A46">
        <v>90</v>
      </c>
      <c r="B46">
        <v>55</v>
      </c>
    </row>
    <row r="47" spans="1:2" x14ac:dyDescent="0.15">
      <c r="A47">
        <v>91</v>
      </c>
      <c r="B47">
        <v>56</v>
      </c>
    </row>
    <row r="48" spans="1:2" x14ac:dyDescent="0.15">
      <c r="A48">
        <v>92</v>
      </c>
      <c r="B48">
        <v>57</v>
      </c>
    </row>
    <row r="49" spans="1:2" x14ac:dyDescent="0.15">
      <c r="A49">
        <v>93</v>
      </c>
      <c r="B49">
        <v>58</v>
      </c>
    </row>
    <row r="50" spans="1:2" x14ac:dyDescent="0.15">
      <c r="A50">
        <v>94</v>
      </c>
      <c r="B50">
        <v>59</v>
      </c>
    </row>
    <row r="51" spans="1:2" x14ac:dyDescent="0.15">
      <c r="A51">
        <v>95</v>
      </c>
      <c r="B51">
        <v>60</v>
      </c>
    </row>
    <row r="52" spans="1:2" x14ac:dyDescent="0.15">
      <c r="A52">
        <v>96</v>
      </c>
      <c r="B52">
        <v>61</v>
      </c>
    </row>
    <row r="53" spans="1:2" x14ac:dyDescent="0.15">
      <c r="A53">
        <v>97</v>
      </c>
      <c r="B53">
        <v>62</v>
      </c>
    </row>
    <row r="54" spans="1:2" x14ac:dyDescent="0.15">
      <c r="A54">
        <v>98</v>
      </c>
      <c r="B54">
        <v>63</v>
      </c>
    </row>
    <row r="55" spans="1:2" x14ac:dyDescent="0.15">
      <c r="A55">
        <v>99</v>
      </c>
      <c r="B55">
        <v>64</v>
      </c>
    </row>
    <row r="56" spans="1:2" x14ac:dyDescent="0.15">
      <c r="A56">
        <v>100</v>
      </c>
      <c r="B56">
        <v>65</v>
      </c>
    </row>
    <row r="57" spans="1:2" x14ac:dyDescent="0.15">
      <c r="A57">
        <v>101</v>
      </c>
      <c r="B57">
        <v>66</v>
      </c>
    </row>
    <row r="58" spans="1:2" x14ac:dyDescent="0.15">
      <c r="A58">
        <v>102</v>
      </c>
      <c r="B58">
        <v>67</v>
      </c>
    </row>
    <row r="59" spans="1:2" x14ac:dyDescent="0.15">
      <c r="A59">
        <v>103</v>
      </c>
      <c r="B59">
        <v>68</v>
      </c>
    </row>
    <row r="60" spans="1:2" x14ac:dyDescent="0.15">
      <c r="A60">
        <v>104</v>
      </c>
      <c r="B60">
        <v>69</v>
      </c>
    </row>
    <row r="61" spans="1:2" x14ac:dyDescent="0.15">
      <c r="A61">
        <v>105</v>
      </c>
      <c r="B61">
        <v>70</v>
      </c>
    </row>
    <row r="62" spans="1:2" x14ac:dyDescent="0.15">
      <c r="A62">
        <v>106</v>
      </c>
      <c r="B62">
        <v>71</v>
      </c>
    </row>
    <row r="63" spans="1:2" x14ac:dyDescent="0.15">
      <c r="A63">
        <v>107</v>
      </c>
      <c r="B63">
        <v>72</v>
      </c>
    </row>
    <row r="64" spans="1:2" x14ac:dyDescent="0.15">
      <c r="A64">
        <v>108</v>
      </c>
      <c r="B64">
        <v>73</v>
      </c>
    </row>
    <row r="65" spans="1:2" x14ac:dyDescent="0.15">
      <c r="A65">
        <v>109</v>
      </c>
      <c r="B65">
        <v>74</v>
      </c>
    </row>
    <row r="66" spans="1:2" x14ac:dyDescent="0.15">
      <c r="A66">
        <v>110</v>
      </c>
      <c r="B66">
        <v>75</v>
      </c>
    </row>
    <row r="67" spans="1:2" x14ac:dyDescent="0.15">
      <c r="A67">
        <v>111</v>
      </c>
      <c r="B67">
        <v>76</v>
      </c>
    </row>
    <row r="68" spans="1:2" x14ac:dyDescent="0.15">
      <c r="A68">
        <v>112</v>
      </c>
      <c r="B68">
        <v>77</v>
      </c>
    </row>
    <row r="69" spans="1:2" x14ac:dyDescent="0.15">
      <c r="A69">
        <v>113</v>
      </c>
      <c r="B69">
        <v>78</v>
      </c>
    </row>
    <row r="70" spans="1:2" x14ac:dyDescent="0.15">
      <c r="A70">
        <v>114</v>
      </c>
      <c r="B70">
        <v>79</v>
      </c>
    </row>
    <row r="71" spans="1:2" x14ac:dyDescent="0.15">
      <c r="A71">
        <v>115</v>
      </c>
      <c r="B71">
        <v>80</v>
      </c>
    </row>
    <row r="72" spans="1:2" x14ac:dyDescent="0.15">
      <c r="A72">
        <v>116</v>
      </c>
      <c r="B72">
        <v>81</v>
      </c>
    </row>
    <row r="73" spans="1:2" x14ac:dyDescent="0.15">
      <c r="A73">
        <v>117</v>
      </c>
      <c r="B73">
        <v>82</v>
      </c>
    </row>
    <row r="74" spans="1:2" x14ac:dyDescent="0.15">
      <c r="A74">
        <v>118</v>
      </c>
      <c r="B74">
        <v>83</v>
      </c>
    </row>
    <row r="75" spans="1:2" x14ac:dyDescent="0.15">
      <c r="A75">
        <v>119</v>
      </c>
      <c r="B75">
        <v>84</v>
      </c>
    </row>
    <row r="76" spans="1:2" x14ac:dyDescent="0.15">
      <c r="A76">
        <v>120</v>
      </c>
      <c r="B76">
        <v>85</v>
      </c>
    </row>
    <row r="77" spans="1:2" x14ac:dyDescent="0.15">
      <c r="B77">
        <v>86</v>
      </c>
    </row>
    <row r="78" spans="1:2" x14ac:dyDescent="0.15">
      <c r="B78">
        <v>87</v>
      </c>
    </row>
    <row r="79" spans="1:2" x14ac:dyDescent="0.15">
      <c r="B79">
        <v>88</v>
      </c>
    </row>
    <row r="80" spans="1:2" x14ac:dyDescent="0.15">
      <c r="B80">
        <v>89</v>
      </c>
    </row>
    <row r="81" spans="2:2" x14ac:dyDescent="0.15">
      <c r="B81">
        <v>90</v>
      </c>
    </row>
    <row r="82" spans="2:2" x14ac:dyDescent="0.15">
      <c r="B82">
        <v>91</v>
      </c>
    </row>
    <row r="83" spans="2:2" x14ac:dyDescent="0.15">
      <c r="B83">
        <v>92</v>
      </c>
    </row>
    <row r="84" spans="2:2" x14ac:dyDescent="0.15">
      <c r="B84">
        <v>93</v>
      </c>
    </row>
    <row r="85" spans="2:2" x14ac:dyDescent="0.15">
      <c r="B85">
        <v>94</v>
      </c>
    </row>
    <row r="86" spans="2:2" x14ac:dyDescent="0.15">
      <c r="B86">
        <v>95</v>
      </c>
    </row>
    <row r="87" spans="2:2" x14ac:dyDescent="0.15">
      <c r="B87">
        <v>96</v>
      </c>
    </row>
    <row r="88" spans="2:2" x14ac:dyDescent="0.15">
      <c r="B88">
        <v>97</v>
      </c>
    </row>
    <row r="89" spans="2:2" x14ac:dyDescent="0.15">
      <c r="B89">
        <v>98</v>
      </c>
    </row>
    <row r="90" spans="2:2" x14ac:dyDescent="0.15">
      <c r="B90">
        <v>99</v>
      </c>
    </row>
    <row r="91" spans="2:2" x14ac:dyDescent="0.15">
      <c r="B91">
        <v>100</v>
      </c>
    </row>
    <row r="92" spans="2:2" x14ac:dyDescent="0.15">
      <c r="B92">
        <v>101</v>
      </c>
    </row>
    <row r="93" spans="2:2" x14ac:dyDescent="0.15">
      <c r="B93">
        <v>102</v>
      </c>
    </row>
    <row r="94" spans="2:2" x14ac:dyDescent="0.15">
      <c r="B94">
        <v>103</v>
      </c>
    </row>
    <row r="95" spans="2:2" x14ac:dyDescent="0.15">
      <c r="B95">
        <v>104</v>
      </c>
    </row>
    <row r="96" spans="2:2" x14ac:dyDescent="0.15">
      <c r="B96">
        <v>105</v>
      </c>
    </row>
    <row r="97" spans="2:2" x14ac:dyDescent="0.15">
      <c r="B97">
        <v>106</v>
      </c>
    </row>
    <row r="98" spans="2:2" x14ac:dyDescent="0.15">
      <c r="B98">
        <v>107</v>
      </c>
    </row>
    <row r="99" spans="2:2" x14ac:dyDescent="0.15">
      <c r="B99">
        <v>108</v>
      </c>
    </row>
    <row r="100" spans="2:2" x14ac:dyDescent="0.15">
      <c r="B100">
        <v>109</v>
      </c>
    </row>
    <row r="101" spans="2:2" x14ac:dyDescent="0.15">
      <c r="B101">
        <v>110</v>
      </c>
    </row>
    <row r="102" spans="2:2" x14ac:dyDescent="0.15">
      <c r="B102">
        <v>111</v>
      </c>
    </row>
    <row r="103" spans="2:2" x14ac:dyDescent="0.15">
      <c r="B103">
        <v>112</v>
      </c>
    </row>
    <row r="104" spans="2:2" x14ac:dyDescent="0.15">
      <c r="B104">
        <v>113</v>
      </c>
    </row>
    <row r="105" spans="2:2" x14ac:dyDescent="0.15">
      <c r="B105">
        <v>114</v>
      </c>
    </row>
    <row r="106" spans="2:2" x14ac:dyDescent="0.15">
      <c r="B106">
        <v>115</v>
      </c>
    </row>
    <row r="107" spans="2:2" x14ac:dyDescent="0.15">
      <c r="B107">
        <v>116</v>
      </c>
    </row>
    <row r="108" spans="2:2" x14ac:dyDescent="0.15">
      <c r="B108">
        <v>117</v>
      </c>
    </row>
    <row r="109" spans="2:2" x14ac:dyDescent="0.15">
      <c r="B109">
        <v>118</v>
      </c>
    </row>
    <row r="110" spans="2:2" x14ac:dyDescent="0.15">
      <c r="B110">
        <v>119</v>
      </c>
    </row>
    <row r="111" spans="2:2" x14ac:dyDescent="0.15">
      <c r="B111">
        <v>120</v>
      </c>
    </row>
    <row r="112" spans="2:2" x14ac:dyDescent="0.15">
      <c r="B112">
        <v>121</v>
      </c>
    </row>
    <row r="113" spans="2:2" x14ac:dyDescent="0.15">
      <c r="B113">
        <v>122</v>
      </c>
    </row>
    <row r="114" spans="2:2" x14ac:dyDescent="0.15">
      <c r="B114">
        <v>123</v>
      </c>
    </row>
    <row r="115" spans="2:2" x14ac:dyDescent="0.15">
      <c r="B115">
        <v>124</v>
      </c>
    </row>
    <row r="116" spans="2:2" x14ac:dyDescent="0.15">
      <c r="B116">
        <v>125</v>
      </c>
    </row>
    <row r="117" spans="2:2" x14ac:dyDescent="0.15">
      <c r="B117">
        <v>126</v>
      </c>
    </row>
    <row r="118" spans="2:2" x14ac:dyDescent="0.15">
      <c r="B118">
        <v>127</v>
      </c>
    </row>
    <row r="119" spans="2:2" x14ac:dyDescent="0.15">
      <c r="B119">
        <v>128</v>
      </c>
    </row>
    <row r="120" spans="2:2" x14ac:dyDescent="0.15">
      <c r="B120">
        <v>129</v>
      </c>
    </row>
    <row r="121" spans="2:2" x14ac:dyDescent="0.15">
      <c r="B121">
        <v>130</v>
      </c>
    </row>
    <row r="122" spans="2:2" x14ac:dyDescent="0.15">
      <c r="B122">
        <v>131</v>
      </c>
    </row>
    <row r="123" spans="2:2" x14ac:dyDescent="0.15">
      <c r="B123">
        <v>132</v>
      </c>
    </row>
    <row r="124" spans="2:2" x14ac:dyDescent="0.15">
      <c r="B124">
        <v>133</v>
      </c>
    </row>
    <row r="125" spans="2:2" x14ac:dyDescent="0.15">
      <c r="B125">
        <v>134</v>
      </c>
    </row>
    <row r="126" spans="2:2" x14ac:dyDescent="0.15">
      <c r="B126">
        <v>135</v>
      </c>
    </row>
    <row r="127" spans="2:2" x14ac:dyDescent="0.15">
      <c r="B127">
        <v>136</v>
      </c>
    </row>
    <row r="128" spans="2:2" x14ac:dyDescent="0.15">
      <c r="B128">
        <v>137</v>
      </c>
    </row>
    <row r="129" spans="2:2" x14ac:dyDescent="0.15">
      <c r="B129">
        <v>138</v>
      </c>
    </row>
    <row r="130" spans="2:2" x14ac:dyDescent="0.15">
      <c r="B130">
        <v>139</v>
      </c>
    </row>
    <row r="131" spans="2:2" x14ac:dyDescent="0.15">
      <c r="B131">
        <v>140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Patient_Info</vt:lpstr>
      <vt:lpstr>Vanco_InitialDose</vt:lpstr>
      <vt:lpstr>Vanco_DoseRevisionTrough</vt:lpstr>
      <vt:lpstr>Vanco_DoseRevisionTwoLevels</vt:lpstr>
      <vt:lpstr>Calculation_Details</vt:lpstr>
      <vt:lpstr>References</vt:lpstr>
      <vt:lpstr>Pick</vt:lpstr>
      <vt:lpstr>Sheet2</vt:lpstr>
      <vt:lpstr>Sheet3</vt:lpstr>
      <vt:lpstr>Lkup</vt:lpstr>
      <vt:lpstr>YESNO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Conan MacDougall</dc:creator>
  <cp:lastModifiedBy>Macdougall, Conan</cp:lastModifiedBy>
  <dcterms:created xsi:type="dcterms:W3CDTF">2007-03-13T21:00:07Z</dcterms:created>
  <dcterms:modified xsi:type="dcterms:W3CDTF">2020-10-30T12:28:51Z</dcterms:modified>
</cp:coreProperties>
</file>